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9320" windowHeight="8085" tabRatio="582" activeTab="0"/>
  </bookViews>
  <sheets>
    <sheet name="DATA" sheetId="1" r:id="rId1"/>
    <sheet name="Proceeding" sheetId="2" r:id="rId2"/>
    <sheet name="Bill" sheetId="3" r:id="rId3"/>
    <sheet name="APTC-47" sheetId="4" r:id="rId4"/>
    <sheet name="Back 47" sheetId="5" r:id="rId5"/>
    <sheet name="Parer token &amp; 101" sheetId="6" r:id="rId6"/>
    <sheet name="Annexure 1 &amp;2" sheetId="7" r:id="rId7"/>
    <sheet name="P.Tax" sheetId="8" state="hidden" r:id="rId8"/>
    <sheet name="Sheet1" sheetId="9" state="hidden" r:id="rId9"/>
    <sheet name="CPS" sheetId="10" r:id="rId10"/>
  </sheets>
  <externalReferences>
    <externalReference r:id="rId13"/>
    <externalReference r:id="rId14"/>
    <externalReference r:id="rId15"/>
  </externalReferences>
  <definedNames>
    <definedName name="A105635">'DATA'!$A$45563</definedName>
    <definedName name="A145610">'DATA'!$45610:$56976</definedName>
    <definedName name="A405635">'DATA'!$A$45563</definedName>
    <definedName name="A455635">'DATA'!$A$45563</definedName>
    <definedName name="A95610">'DATA'!$45610:$56976</definedName>
    <definedName name="ap47c">'[1] '!$BN$21:$CD$33</definedName>
    <definedName name="azs12">'DATA'!$AA$12</definedName>
    <definedName name="kkp5">'DATA'!$AA$22</definedName>
    <definedName name="Numbers">#REF!</definedName>
    <definedName name="_xlnm.Print_Area" localSheetId="3">'APTC-47'!$A$1:$X$63</definedName>
    <definedName name="_xlnm.Print_Area" localSheetId="2">'Bill'!$A$1:$Y$21</definedName>
    <definedName name="yxz45">'DATA'!$S$12</definedName>
    <definedName name="yyy12">'DATA'!$AA$12</definedName>
    <definedName name="Z_251BCA92_4A2D_4049_8601_34286741627A_.wvu.Rows" localSheetId="0" hidden="1">'DATA'!$91:$158</definedName>
    <definedName name="Z_404D0739_D685_4D16_97F7_FD0448EBF6FA_.wvu.Cols" localSheetId="2" hidden="1">'Bill'!$I:$I,'Bill'!$P:$P</definedName>
    <definedName name="Z_404D0739_D685_4D16_97F7_FD0448EBF6FA_.wvu.Cols" localSheetId="1" hidden="1">'Proceeding'!$M:$M</definedName>
    <definedName name="Z_404D0739_D685_4D16_97F7_FD0448EBF6FA_.wvu.FilterData" localSheetId="2" hidden="1">'Bill'!$A$1:$Y$11</definedName>
    <definedName name="Z_404D0739_D685_4D16_97F7_FD0448EBF6FA_.wvu.Rows" localSheetId="0" hidden="1">'DATA'!$96:$200</definedName>
    <definedName name="Z_41A2F7D9_820C_42B6_9554_4F6DCEAAE92D_.wvu.Cols" localSheetId="0" hidden="1">'DATA'!$Q:$AE,'DATA'!$AG:$IV</definedName>
    <definedName name="Z_41A2F7D9_820C_42B6_9554_4F6DCEAAE92D_.wvu.Rows" localSheetId="0" hidden="1">'DATA'!$17:$205,'DATA'!$207:$65536</definedName>
    <definedName name="Z_45332106_F8B0_418B_85FB_E7866DCCFF19_.wvu.Cols" localSheetId="0" hidden="1">'DATA'!$Q:$IV</definedName>
    <definedName name="Z_45332106_F8B0_418B_85FB_E7866DCCFF19_.wvu.Rows" localSheetId="0" hidden="1">'DATA'!$18:$65536</definedName>
    <definedName name="Z_63E57F7B_AFB9_4A4F_BEE9_A87886FE080E_.wvu.Cols" localSheetId="0" hidden="1">'DATA'!$Q:$IV</definedName>
    <definedName name="Z_63E57F7B_AFB9_4A4F_BEE9_A87886FE080E_.wvu.Rows" localSheetId="0" hidden="1">'DATA'!$18:$65536</definedName>
    <definedName name="Z_A4554EAF_6521_4F63_ACD6_CAABB50734DB_.wvu.Cols" localSheetId="2" hidden="1">'Bill'!$I:$I,'Bill'!$P:$P</definedName>
    <definedName name="Z_A4554EAF_6521_4F63_ACD6_CAABB50734DB_.wvu.Cols" localSheetId="1" hidden="1">'Proceeding'!$M:$M</definedName>
    <definedName name="Z_A4554EAF_6521_4F63_ACD6_CAABB50734DB_.wvu.FilterData" localSheetId="2" hidden="1">'Bill'!$A$1:$Y$11</definedName>
    <definedName name="Z_A4554EAF_6521_4F63_ACD6_CAABB50734DB_.wvu.PrintArea" localSheetId="3" hidden="1">'APTC-47'!$A$1:$X$63</definedName>
    <definedName name="Z_A4554EAF_6521_4F63_ACD6_CAABB50734DB_.wvu.PrintArea" localSheetId="2" hidden="1">'Bill'!$A$1:$Y$21</definedName>
    <definedName name="Z_A4554EAF_6521_4F63_ACD6_CAABB50734DB_.wvu.Rows" localSheetId="0" hidden="1">'DATA'!$84:$199</definedName>
    <definedName name="zyp2">'DATA'!$S$12</definedName>
    <definedName name="zyx1">'DATA'!$S$12</definedName>
  </definedNames>
  <calcPr fullCalcOnLoad="1"/>
</workbook>
</file>

<file path=xl/comments1.xml><?xml version="1.0" encoding="utf-8"?>
<comments xmlns="http://schemas.openxmlformats.org/spreadsheetml/2006/main">
  <authors>
    <author>cr</author>
  </authors>
  <commentList>
    <comment ref="L13" authorId="0">
      <text>
        <r>
          <rPr>
            <sz val="11"/>
            <color indexed="8"/>
            <rFont val="Calibri"/>
            <family val="2"/>
          </rPr>
          <t>cr:</t>
        </r>
        <r>
          <rPr>
            <sz val="11"/>
            <color theme="1"/>
            <rFont val="Calibri"/>
            <family val="2"/>
          </rPr>
          <t xml:space="preserve">
New DA enter in left side yellow box ( Not enter  "%" symbol )</t>
        </r>
      </text>
    </comment>
    <comment ref="M14" authorId="0">
      <text>
        <r>
          <rPr>
            <sz val="11"/>
            <color indexed="8"/>
            <rFont val="Calibri"/>
            <family val="2"/>
          </rPr>
          <t>cr:</t>
        </r>
        <r>
          <rPr>
            <sz val="11"/>
            <color theme="1"/>
            <rFont val="Calibri"/>
            <family val="2"/>
          </rPr>
          <t xml:space="preserve">
New DA enter in left side  box ( Not enter  "%" symbol )</t>
        </r>
      </text>
    </comment>
  </commentList>
</comments>
</file>

<file path=xl/sharedStrings.xml><?xml version="1.0" encoding="utf-8"?>
<sst xmlns="http://schemas.openxmlformats.org/spreadsheetml/2006/main" count="733" uniqueCount="532">
  <si>
    <t>Designation</t>
  </si>
  <si>
    <t>Mandal</t>
  </si>
  <si>
    <t>District</t>
  </si>
  <si>
    <t>M.E.O</t>
  </si>
  <si>
    <t>Head Master</t>
  </si>
  <si>
    <t>Head Mistress</t>
  </si>
  <si>
    <t>Dy.Edu.Officer</t>
  </si>
  <si>
    <t>Jan</t>
  </si>
  <si>
    <t>Feb</t>
  </si>
  <si>
    <t>Mar</t>
  </si>
  <si>
    <t>Apr</t>
  </si>
  <si>
    <t>May</t>
  </si>
  <si>
    <t>Jun</t>
  </si>
  <si>
    <t>Jul</t>
  </si>
  <si>
    <t>Aug</t>
  </si>
  <si>
    <t>Sep</t>
  </si>
  <si>
    <t>Oct</t>
  </si>
  <si>
    <t>Nov</t>
  </si>
  <si>
    <t>Dec</t>
  </si>
  <si>
    <t>S.A.(P.S.)</t>
  </si>
  <si>
    <t>S.A.(B.S.)</t>
  </si>
  <si>
    <t>S.A.(S.S.)</t>
  </si>
  <si>
    <t>S.A.(ENG)</t>
  </si>
  <si>
    <t>S.A.(TEL)</t>
  </si>
  <si>
    <t>S.A.(HIN)</t>
  </si>
  <si>
    <t>S.G.T.</t>
  </si>
  <si>
    <t>L.F.L.(H.M.)</t>
  </si>
  <si>
    <t>Gr.II(DRAW)</t>
  </si>
  <si>
    <t>S.A(P.D)</t>
  </si>
  <si>
    <t>DOJ</t>
  </si>
  <si>
    <t>SG</t>
  </si>
  <si>
    <t>SPP-IA</t>
  </si>
  <si>
    <t>SPP-II</t>
  </si>
  <si>
    <t>SGT</t>
  </si>
  <si>
    <t>10900-31550</t>
  </si>
  <si>
    <t>11530-33200</t>
  </si>
  <si>
    <t>14860-39540</t>
  </si>
  <si>
    <t>15280-40510</t>
  </si>
  <si>
    <t>SA</t>
  </si>
  <si>
    <t>18030-43630</t>
  </si>
  <si>
    <t>19050-45850</t>
  </si>
  <si>
    <t>21820-48160</t>
  </si>
  <si>
    <t>COY</t>
  </si>
  <si>
    <t>Kurnool</t>
  </si>
  <si>
    <t>Days</t>
  </si>
  <si>
    <t>SPP-IB</t>
  </si>
  <si>
    <t>Pay</t>
  </si>
  <si>
    <t>Disgnation</t>
  </si>
  <si>
    <t>Yes</t>
  </si>
  <si>
    <t>No</t>
  </si>
  <si>
    <t>PET</t>
  </si>
  <si>
    <t>Exempted</t>
  </si>
  <si>
    <t>Date of Birth</t>
  </si>
  <si>
    <t>B.A</t>
  </si>
  <si>
    <t>Inter</t>
  </si>
  <si>
    <t>B.Sc</t>
  </si>
  <si>
    <t>B.Com</t>
  </si>
  <si>
    <t>Vidvan</t>
  </si>
  <si>
    <t>M.Sc</t>
  </si>
  <si>
    <t>M.A</t>
  </si>
  <si>
    <t>M.Com</t>
  </si>
  <si>
    <t>(                    )</t>
  </si>
  <si>
    <t>T.T.C</t>
  </si>
  <si>
    <t>B.Ed</t>
  </si>
  <si>
    <t>D.Ed</t>
  </si>
  <si>
    <t>H.P.T</t>
  </si>
  <si>
    <t>T.P.T</t>
  </si>
  <si>
    <t>B.P.Ed</t>
  </si>
  <si>
    <t>M.Ed</t>
  </si>
  <si>
    <t>(                   )</t>
  </si>
  <si>
    <t>Sub:</t>
  </si>
  <si>
    <t>Ref:</t>
  </si>
  <si>
    <t>1.G.O.Ms.No. 96. Dt. 20/05/2011</t>
  </si>
  <si>
    <t>2.G.O.(P) No . 52 /Fin and Planning(FW:PC-1) Dept.,Dt. 25/02/2010</t>
  </si>
  <si>
    <t>3.G.O.Ms.No. 38. Dt. 26/05/2007</t>
  </si>
  <si>
    <t>4.Proposals of the Individual</t>
  </si>
  <si>
    <t>:</t>
  </si>
  <si>
    <t>TOTAL</t>
  </si>
  <si>
    <t>Total</t>
  </si>
  <si>
    <t>Non-Drawn Certificate:</t>
  </si>
  <si>
    <t>The Claims made in this bill are not clamed earlier and now same has entered in concerned Pay Bill register to avoid double claim in the future</t>
  </si>
  <si>
    <t>DDO Signature</t>
  </si>
  <si>
    <t>1)</t>
  </si>
  <si>
    <t>2)</t>
  </si>
  <si>
    <t xml:space="preserve">  GOVERNMENT OF ANDHRA PRADESH                                                                                                                                                         ( A.P.T.C.Form - 47 )                     
</t>
  </si>
  <si>
    <t>(For Treasury Use Only)</t>
  </si>
  <si>
    <t>Pay Bill for the Month &amp; Year</t>
  </si>
  <si>
    <t>DATE:  _____________</t>
  </si>
  <si>
    <t xml:space="preserve">Treasury / P.A.O Code </t>
  </si>
  <si>
    <t xml:space="preserve">Trans ID: </t>
  </si>
  <si>
    <t xml:space="preserve">D.D.O.Code </t>
  </si>
  <si>
    <t>DDO Designation</t>
  </si>
  <si>
    <t>DDO OFFICE NAME :</t>
  </si>
  <si>
    <t>BANK CODE</t>
  </si>
  <si>
    <t>BANK NAME:</t>
  </si>
  <si>
    <t>DDOs TBR No.</t>
  </si>
  <si>
    <t>Head of Account</t>
  </si>
  <si>
    <t>Deducations</t>
  </si>
  <si>
    <t>Amount</t>
  </si>
  <si>
    <t xml:space="preserve">Major Head </t>
  </si>
  <si>
    <t>Rs.</t>
  </si>
  <si>
    <t>Sub Major</t>
  </si>
  <si>
    <t>APGLI</t>
  </si>
  <si>
    <t xml:space="preserve">Minor Head </t>
  </si>
  <si>
    <t>Group Insurance/AIS</t>
  </si>
  <si>
    <t>Group Sub-Head</t>
  </si>
  <si>
    <t>Professional Tax</t>
  </si>
  <si>
    <t>Sub Head</t>
  </si>
  <si>
    <t>House Rent</t>
  </si>
  <si>
    <t>Detail Head</t>
  </si>
  <si>
    <t>Salaries</t>
  </si>
  <si>
    <t>Festival Adv.&amp;APCO Adv.</t>
  </si>
  <si>
    <t>Educational Adv.</t>
  </si>
  <si>
    <t>HBA (P)</t>
  </si>
  <si>
    <t>Non-plan=N/Plan=P</t>
  </si>
  <si>
    <t>N</t>
  </si>
  <si>
    <t>Charged=C/Voted=V</t>
  </si>
  <si>
    <t>V</t>
  </si>
  <si>
    <t>HBA (I)</t>
  </si>
  <si>
    <t>Contingency Fund/MH</t>
  </si>
  <si>
    <t>Car Adv.(P)</t>
  </si>
  <si>
    <t>Service Major Head</t>
  </si>
  <si>
    <t>Car Adv.(I)</t>
  </si>
  <si>
    <t>Motor Cycle Adv.(P)</t>
  </si>
  <si>
    <t>Motor Cycle Adv.(I)</t>
  </si>
  <si>
    <t>011 - Pay</t>
  </si>
  <si>
    <t>Cycle Adv.</t>
  </si>
  <si>
    <t>012-   Allowances</t>
  </si>
  <si>
    <t>Marriage Adv.(P)</t>
  </si>
  <si>
    <t>013 - Dearness Allowances</t>
  </si>
  <si>
    <t>Marriage Adv.(I)</t>
  </si>
  <si>
    <t>015-   I.R.</t>
  </si>
  <si>
    <t>Income Tax</t>
  </si>
  <si>
    <t>016-   H.R.A.</t>
  </si>
  <si>
    <t>Class IV GPF- D.T.O</t>
  </si>
  <si>
    <t>EWF Loan</t>
  </si>
  <si>
    <t>Total Govt. Deducations</t>
  </si>
  <si>
    <t xml:space="preserve">Gross Total </t>
  </si>
  <si>
    <t>Total Non-Govt.Deducations</t>
  </si>
  <si>
    <t>Less Govt. Deductions</t>
  </si>
  <si>
    <t>A.G.Nett Amount</t>
  </si>
  <si>
    <t xml:space="preserve">A.G.Nett Amount in words </t>
  </si>
  <si>
    <t>Drawing Officer</t>
  </si>
  <si>
    <t>FOR USE IN TREASURY / PAY &amp; ACCOUNTS OFFICE ONLY</t>
  </si>
  <si>
    <t xml:space="preserve">_________________ </t>
  </si>
  <si>
    <t xml:space="preserve">_______________________________________________________ Only) by Cash / Cheque / Draft / </t>
  </si>
  <si>
    <t>Account credit as under and Rs________________________________________________________</t>
  </si>
  <si>
    <t>____________________________________________ only) by adjustment.</t>
  </si>
  <si>
    <t>1.Rs._________________ by transfer credit to the SB Accounts of the Employees (as per Annexure-I)</t>
  </si>
  <si>
    <t>2.Rs._________________ by transfer credit to the DDO Account towards of Non-Govt.Deducations.</t>
  </si>
  <si>
    <t>Rs</t>
  </si>
  <si>
    <t>Treasury Officer / Pay &amp; Accounts Officer</t>
  </si>
  <si>
    <t>District  :</t>
  </si>
  <si>
    <r>
      <t xml:space="preserve">Permanent / </t>
    </r>
    <r>
      <rPr>
        <strike/>
        <sz val="10"/>
        <rFont val="Times New Roman"/>
        <family val="1"/>
      </rPr>
      <t>Temporary</t>
    </r>
  </si>
  <si>
    <t xml:space="preserve"> / 2012-13</t>
  </si>
  <si>
    <t>Date:</t>
  </si>
  <si>
    <t>Bank Branch Code</t>
  </si>
  <si>
    <t>APTC FORM 101</t>
  </si>
  <si>
    <t>PAPER TOKEN</t>
  </si>
  <si>
    <t>(See subsidiary Rule 2(W) under Treasury Rule 15:
Govt. Memo No.38907/ Accounts / 65 /5, Dt:21-02-1963)</t>
  </si>
  <si>
    <t>STO Code</t>
  </si>
  <si>
    <t>Date</t>
  </si>
  <si>
    <t>DDO Cede:</t>
  </si>
  <si>
    <t>Treasury/PAO Code</t>
  </si>
  <si>
    <t>STO Name</t>
  </si>
  <si>
    <t>DDO Code</t>
  </si>
  <si>
    <t>Trans ID</t>
  </si>
  <si>
    <t>Treasury / PAO Name</t>
  </si>
  <si>
    <t>Name:</t>
  </si>
  <si>
    <t>To</t>
  </si>
  <si>
    <t>The Treasury Officer / Manager</t>
  </si>
  <si>
    <t>(Sub-MH)</t>
  </si>
  <si>
    <t>(Minor Head)</t>
  </si>
  <si>
    <t>(Grp-SH)</t>
  </si>
  <si>
    <t>Please Pay Bill No.</t>
  </si>
  <si>
    <t>dated</t>
  </si>
  <si>
    <t>for Rs.</t>
  </si>
  <si>
    <t>(Sub Head)</t>
  </si>
  <si>
    <t>(Det. Head)</t>
  </si>
  <si>
    <t>(Sub Det. Head)</t>
  </si>
  <si>
    <t>(Rupees in words</t>
  </si>
  <si>
    <t xml:space="preserve">Non - Plan </t>
  </si>
  <si>
    <t>=</t>
  </si>
  <si>
    <t>Changed = C</t>
  </si>
  <si>
    <t xml:space="preserve">Contingency Fund </t>
  </si>
  <si>
    <t>Voted = V</t>
  </si>
  <si>
    <t>MH / Service Major Head</t>
  </si>
  <si>
    <t xml:space="preserve">the Smt/Sri </t>
  </si>
  <si>
    <t>for the office</t>
  </si>
  <si>
    <t>of the</t>
  </si>
  <si>
    <t>whose speciemem</t>
  </si>
  <si>
    <t>Gross Rs.</t>
  </si>
  <si>
    <t>Deductions Rs.</t>
  </si>
  <si>
    <t>Net Rs.</t>
  </si>
  <si>
    <t>signature is attested herewith.</t>
  </si>
  <si>
    <t>(Net Rupees</t>
  </si>
  <si>
    <t>Messenger Neme</t>
  </si>
  <si>
    <t>Designation:</t>
  </si>
  <si>
    <t>(As in APTC Form - 101)</t>
  </si>
  <si>
    <t>Signature of the Govt. Servant</t>
  </si>
  <si>
    <t>Received the payment</t>
  </si>
  <si>
    <t>Specimen Signature of Messenger</t>
  </si>
  <si>
    <t>Dated:</t>
  </si>
  <si>
    <t>Attested</t>
  </si>
  <si>
    <t>Signature of the DDO</t>
  </si>
  <si>
    <t>Signature of the Govt.</t>
  </si>
  <si>
    <t>STO Signature</t>
  </si>
  <si>
    <t>Servant receiving the Payment</t>
  </si>
  <si>
    <t>GOVERNAMENT OF ANDRA PRADESH</t>
  </si>
  <si>
    <t>Teaching Grant to Mandal Praja Parishad</t>
  </si>
  <si>
    <t>BUDGET</t>
  </si>
  <si>
    <t>1.</t>
  </si>
  <si>
    <t>2.</t>
  </si>
  <si>
    <t>Total Expenditure including this Bill</t>
  </si>
  <si>
    <t>3.</t>
  </si>
  <si>
    <t>Balance</t>
  </si>
  <si>
    <t>This bill amount Rs.</t>
  </si>
  <si>
    <t xml:space="preserve"> paid by cash / cheque / draft adjust to account.</t>
  </si>
  <si>
    <t>Received Cash</t>
  </si>
  <si>
    <t>REQUIRED CERTIFICATES</t>
  </si>
  <si>
    <t>Certified That the amount claimed in this bill has not been already drawn and paid previously.</t>
  </si>
  <si>
    <t>Certified that if any excess amount is paid due to the fixation the same will be recovered from the</t>
  </si>
  <si>
    <t>Certified that the note of arrears claims has been carried in the respective copies office bill register .</t>
  </si>
  <si>
    <t>Certified that the necessary fixation entries have been made in the service register of the individual.</t>
  </si>
  <si>
    <t>Certified that the pay is fixed in terms of G.O.Ms. NO.52 Finance Dept.,dated.25-02-2010</t>
  </si>
  <si>
    <t>Certified that the H.R.A. is claimed in terms of G.O.Ms.No.64 Finance Dept.,dated : 09-03-2010</t>
  </si>
  <si>
    <t>dated :7/4/2010</t>
  </si>
  <si>
    <t xml:space="preserve">Certified that the City Compensatory Allowance (CCA) is claimed in terms of G.O.M.S No.65 </t>
  </si>
  <si>
    <t>Finance  Dept.,dated :3/9/2010</t>
  </si>
  <si>
    <t>dated :7/04/2010</t>
  </si>
  <si>
    <t>DRAWING OFFICER</t>
  </si>
  <si>
    <t>For the use Of  Accountant  General  Office</t>
  </si>
  <si>
    <t>ANNEXURE-I</t>
  </si>
  <si>
    <t>(To be furnished by the DDO in triplicate)</t>
  </si>
  <si>
    <t>NAME OF THE NPB</t>
  </si>
  <si>
    <t>For the Month of</t>
  </si>
  <si>
    <t xml:space="preserve">DDO CODE                </t>
  </si>
  <si>
    <t>DDO DESIGNATION</t>
  </si>
  <si>
    <t>Sl.          No</t>
  </si>
  <si>
    <t>Employee Id.No.</t>
  </si>
  <si>
    <t>Name</t>
  </si>
  <si>
    <t>A/C No.</t>
  </si>
  <si>
    <t>Net</t>
  </si>
  <si>
    <t xml:space="preserve">Net Rs. in words :  </t>
  </si>
  <si>
    <t>DDO Signature with seal</t>
  </si>
  <si>
    <t>Signature of T.O with seal</t>
  </si>
  <si>
    <t>ANNEXURE - II</t>
  </si>
  <si>
    <t>Notified Link Bank Report</t>
  </si>
  <si>
    <t>To be furnished by the DDO in triplicate</t>
  </si>
  <si>
    <t xml:space="preserve">DDO CODE  </t>
  </si>
  <si>
    <t>(For Treasury use only)</t>
  </si>
  <si>
    <t xml:space="preserve">DDO Name </t>
  </si>
  <si>
    <t xml:space="preserve">Date : </t>
  </si>
  <si>
    <t>Name of NLB</t>
  </si>
  <si>
    <t>Trans ID :</t>
  </si>
  <si>
    <t>Sl.No.</t>
  </si>
  <si>
    <t>Name of the NPB</t>
  </si>
  <si>
    <t>Purpose</t>
  </si>
  <si>
    <t>Amount to be credited</t>
  </si>
  <si>
    <t>D.A</t>
  </si>
  <si>
    <t>S.No.</t>
  </si>
  <si>
    <t>Month &amp; Year</t>
  </si>
  <si>
    <t>H.R.A</t>
  </si>
  <si>
    <t>To be drawn</t>
  </si>
  <si>
    <t>Basic Pay</t>
  </si>
  <si>
    <t xml:space="preserve"> PT to be paid</t>
  </si>
  <si>
    <t xml:space="preserve"> PT already paid</t>
  </si>
  <si>
    <t>Differance</t>
  </si>
  <si>
    <t xml:space="preserve"> PT difference</t>
  </si>
  <si>
    <t>Net payable</t>
  </si>
  <si>
    <t>Bill month</t>
  </si>
  <si>
    <t>School Name</t>
  </si>
  <si>
    <t>MPP School</t>
  </si>
  <si>
    <t>MPUP School</t>
  </si>
  <si>
    <t>ZPH School</t>
  </si>
  <si>
    <t>ZPH School(             )</t>
  </si>
  <si>
    <t>Govt. Primary School</t>
  </si>
  <si>
    <t>Govt. UP School</t>
  </si>
  <si>
    <t>Govt. High School</t>
  </si>
  <si>
    <t>G.P.F/PF</t>
  </si>
  <si>
    <t>STO, Pathikonda</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</si>
  <si>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</si>
  <si>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</si>
  <si>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</si>
  <si>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</si>
  <si>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</si>
  <si>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</si>
  <si>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</si>
  <si>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</si>
  <si>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</si>
  <si>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</si>
  <si>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</si>
  <si>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</si>
  <si>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</si>
  <si>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</si>
  <si>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</si>
  <si>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</si>
  <si>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</si>
  <si>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</si>
  <si>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</si>
  <si>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</si>
  <si>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</si>
  <si>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</si>
  <si>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</si>
  <si>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</si>
  <si>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</si>
  <si>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</si>
  <si>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</si>
  <si>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</si>
  <si>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</si>
  <si>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</si>
  <si>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</si>
  <si>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</si>
  <si>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</si>
  <si>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</si>
  <si>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</si>
  <si>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</si>
  <si>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</si>
  <si>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</si>
  <si>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</si>
  <si>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</si>
  <si>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</si>
  <si>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</si>
  <si>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</si>
  <si>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</si>
  <si>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</si>
  <si>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</si>
  <si>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</si>
  <si>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</si>
  <si>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</si>
  <si>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</si>
  <si>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</si>
  <si>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</si>
  <si>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</si>
  <si>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</si>
  <si>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</si>
  <si>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</si>
  <si>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</si>
  <si>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</si>
  <si>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</si>
  <si>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</si>
  <si>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</si>
  <si>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</si>
  <si>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</si>
  <si>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</si>
  <si>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</si>
  <si>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</si>
  <si>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</si>
  <si>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</si>
  <si>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</si>
  <si>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</si>
  <si>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</si>
  <si>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</si>
  <si>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</si>
  <si>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</si>
  <si>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</si>
  <si>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</si>
  <si>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</si>
  <si>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</si>
  <si>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</si>
  <si>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</si>
  <si>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</si>
  <si>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</si>
  <si>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</si>
  <si>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</si>
  <si>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</si>
  <si>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</si>
  <si>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</si>
  <si>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</si>
  <si>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</si>
  <si>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</si>
  <si>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</si>
  <si>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</si>
  <si>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</si>
  <si>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</si>
  <si>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</si>
  <si>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</si>
  <si>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</si>
  <si>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</si>
  <si>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</si>
  <si>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Lakhs</t>
  </si>
  <si>
    <t>Thousands</t>
  </si>
  <si>
    <t>Hundred</t>
  </si>
  <si>
    <t>-</t>
  </si>
  <si>
    <t>Secondary Education</t>
  </si>
  <si>
    <t>AAS</t>
  </si>
  <si>
    <t>DA</t>
  </si>
  <si>
    <t>HRA</t>
  </si>
  <si>
    <t>Assistance to Local Bodies for Primary Education</t>
  </si>
  <si>
    <t>Elementry Education</t>
  </si>
  <si>
    <t>Assistance to Local Bodies for Secondary Education</t>
  </si>
  <si>
    <t>Teaching Grant to Zilla Praja Parishads</t>
  </si>
  <si>
    <t>Government Primary Schools</t>
  </si>
  <si>
    <t>Government Secondary Schools</t>
  </si>
  <si>
    <t>sub m h</t>
  </si>
  <si>
    <t>educ</t>
  </si>
  <si>
    <t>minnr h</t>
  </si>
  <si>
    <t>sub h</t>
  </si>
  <si>
    <t>Teaching Grant to Govt. Primary Schools</t>
  </si>
  <si>
    <t>Teaching Grant to Govt. Secondary Schools</t>
  </si>
  <si>
    <t>Net Rs. in Words:</t>
  </si>
  <si>
    <t>Depertment test passed</t>
  </si>
  <si>
    <t>GHM</t>
  </si>
  <si>
    <t>Years</t>
  </si>
  <si>
    <t>Already drawn</t>
  </si>
  <si>
    <t>Name of the Employee</t>
  </si>
  <si>
    <t>Place of working</t>
  </si>
  <si>
    <t>Jonnagiri</t>
  </si>
  <si>
    <t>Tuggali</t>
  </si>
  <si>
    <t>Employee Id No.</t>
  </si>
  <si>
    <t>Bill prepared Month</t>
  </si>
  <si>
    <t xml:space="preserve">Name of the Proceedings </t>
  </si>
  <si>
    <t>Name of the Mandal</t>
  </si>
  <si>
    <t xml:space="preserve">Name of the DDO </t>
  </si>
  <si>
    <t>Sub-Treasury Name</t>
  </si>
  <si>
    <t>Treasury code</t>
  </si>
  <si>
    <t xml:space="preserve">Bank Name </t>
  </si>
  <si>
    <t>Bank Code</t>
  </si>
  <si>
    <t>Messenger Name</t>
  </si>
  <si>
    <t>P.Prakash</t>
  </si>
  <si>
    <t>Employee Bank Account No.</t>
  </si>
  <si>
    <t>DDO office Name</t>
  </si>
  <si>
    <t>DDO qualification</t>
  </si>
  <si>
    <t>DDO H.Q(Place)</t>
  </si>
  <si>
    <t>Date of  Joining Present Cadre</t>
  </si>
  <si>
    <t xml:space="preserve">Basic Pay on Completion of AAS Date  </t>
  </si>
  <si>
    <t>Employee Qualification</t>
  </si>
  <si>
    <t>COD</t>
  </si>
  <si>
    <t>complete of AAS</t>
  </si>
  <si>
    <t>w.e.f   AAS</t>
  </si>
  <si>
    <t>Month ending</t>
  </si>
  <si>
    <t>Days difference</t>
  </si>
  <si>
    <t>AOL</t>
  </si>
  <si>
    <t>Months</t>
  </si>
  <si>
    <t>R.C.No:</t>
  </si>
  <si>
    <t>ORDER:</t>
  </si>
  <si>
    <t>Date of Joining in the Present Cadre</t>
  </si>
  <si>
    <t>Date of Next Increment as per R 31(2) (Normal Inc. Date )</t>
  </si>
  <si>
    <t>Acadamic &amp; Professional Qualifications</t>
  </si>
  <si>
    <t>Whether Depatmental Tests Passed</t>
  </si>
  <si>
    <t>Copy to :</t>
  </si>
  <si>
    <t>Desig</t>
  </si>
  <si>
    <t>AAS pay</t>
  </si>
  <si>
    <t>N.P</t>
  </si>
  <si>
    <t>N PT</t>
  </si>
  <si>
    <t>O.P</t>
  </si>
  <si>
    <t>O.PT</t>
  </si>
  <si>
    <t>P.diff</t>
  </si>
  <si>
    <t>DA.diff</t>
  </si>
  <si>
    <t>HRA. Diff</t>
  </si>
  <si>
    <t>TOTAL.diff</t>
  </si>
  <si>
    <t>PT.diff</t>
  </si>
  <si>
    <t>NET</t>
  </si>
  <si>
    <t>**************</t>
  </si>
  <si>
    <t>your age</t>
  </si>
  <si>
    <t>your service</t>
  </si>
  <si>
    <t>Your present Age→</t>
  </si>
  <si>
    <t xml:space="preserve"> Your Completed service →</t>
  </si>
  <si>
    <t>1. The individual concern</t>
  </si>
  <si>
    <t>PROFESSIONAL TAX RECOVERY SCHEDULE</t>
  </si>
  <si>
    <t xml:space="preserve">PT SCHEDULE OF DEDUCTION UNDER 0028 OTHER TAX ON INCOME        </t>
  </si>
  <si>
    <t>AND EXPENDITURE 107 TAXES ON PROFFESSIONS TRADES CALLINGS AND EMPLOYEMENT 01 TAX COLLECTIONS.</t>
  </si>
  <si>
    <t>Employee Id</t>
  </si>
  <si>
    <t>Subscription</t>
  </si>
  <si>
    <t>Rupees in Words   :</t>
  </si>
  <si>
    <t>Month of -</t>
  </si>
  <si>
    <t>www.cramanji.webnode.com</t>
  </si>
  <si>
    <t>ramanjaneyulu.tcrgty@gmail.com</t>
  </si>
  <si>
    <t>Prepared by: C.Ramanjaneyulu,S.A(P.S),ZPHS,Jonnagiri,Tuggali(M),Kurnool(Dt.)</t>
  </si>
  <si>
    <t>DOB</t>
  </si>
  <si>
    <t>S.A.(Maths)</t>
  </si>
  <si>
    <t>DDO</t>
  </si>
  <si>
    <t>Applicant</t>
  </si>
  <si>
    <t>T.V.Sreeenivasulu</t>
  </si>
  <si>
    <t>Sri.</t>
  </si>
  <si>
    <t>Smt.</t>
  </si>
  <si>
    <t>Kum.</t>
  </si>
  <si>
    <t>if any E.O.L peried                     (in Days )</t>
  </si>
  <si>
    <t>Click below website for more proceedings &amp; Update software</t>
  </si>
  <si>
    <t>Inc.</t>
  </si>
  <si>
    <t>PLEASE FILL YOUR &amp; DDO DETAILS IN CELLS</t>
  </si>
  <si>
    <t>K.Chandra sekhar</t>
  </si>
  <si>
    <r>
      <t xml:space="preserve"> </t>
    </r>
    <r>
      <rPr>
        <b/>
        <sz val="14"/>
        <rFont val="Rockwell"/>
        <family val="1"/>
      </rPr>
      <t>AAS SOFTWARE</t>
    </r>
    <r>
      <rPr>
        <b/>
        <sz val="14"/>
        <color indexed="8"/>
        <rFont val="Rockwell"/>
        <family val="1"/>
      </rPr>
      <t xml:space="preserve"> </t>
    </r>
    <r>
      <rPr>
        <b/>
        <sz val="12"/>
        <color indexed="8"/>
        <rFont val="Times New Roman"/>
        <family val="1"/>
      </rPr>
      <t xml:space="preserve">        </t>
    </r>
    <r>
      <rPr>
        <b/>
        <u val="single"/>
        <sz val="12"/>
        <color indexed="8"/>
        <rFont val="Times New Roman"/>
        <family val="1"/>
      </rPr>
      <t xml:space="preserve"> </t>
    </r>
    <r>
      <rPr>
        <b/>
        <u val="single"/>
        <sz val="12"/>
        <rFont val="Times New Roman"/>
        <family val="1"/>
      </rPr>
      <t xml:space="preserve">Programme Developed </t>
    </r>
    <r>
      <rPr>
        <b/>
        <u val="single"/>
        <sz val="12"/>
        <color indexed="8"/>
        <rFont val="Times New Roman"/>
        <family val="1"/>
      </rPr>
      <t xml:space="preserve">By  </t>
    </r>
    <r>
      <rPr>
        <b/>
        <sz val="12"/>
        <color indexed="8"/>
        <rFont val="Times New Roman"/>
        <family val="1"/>
      </rPr>
      <t xml:space="preserve">      C.Ramanjaneyulu   S.A(P.S),   ZPHS, Jonnagiri,             Tuggali(Mandal),                      Kurnool(Dt.)                           Ph :9160840947</t>
    </r>
  </si>
  <si>
    <t>Mandal Educational Officer</t>
  </si>
  <si>
    <t>No change</t>
  </si>
  <si>
    <t>If any change DA enter below cell</t>
  </si>
  <si>
    <t>New DA</t>
  </si>
  <si>
    <t>Select PF/ CPS</t>
  </si>
  <si>
    <t>If CPS, CPS No:</t>
  </si>
  <si>
    <t>Mandal Parishad</t>
  </si>
  <si>
    <t>PF</t>
  </si>
  <si>
    <t>CPS</t>
  </si>
  <si>
    <t>(Rupees _______________________________________________</t>
  </si>
  <si>
    <t>net</t>
  </si>
  <si>
    <t>DDO Office Name:</t>
  </si>
  <si>
    <t>DDO Designation:</t>
  </si>
  <si>
    <t>State Bank of India, Pathikonda</t>
  </si>
  <si>
    <t>(G.O.Ms.No.655 Finance (pen.I) Dept.  dt.22.9.04)</t>
  </si>
  <si>
    <t>S.No</t>
  </si>
  <si>
    <t>Emp.Code</t>
  </si>
  <si>
    <t>CPS Index No</t>
  </si>
  <si>
    <t>Employees Contribution</t>
  </si>
  <si>
    <t>Sub Treasury code:</t>
  </si>
  <si>
    <t>DDO Name :</t>
  </si>
  <si>
    <t>DDO Code :</t>
  </si>
  <si>
    <t>CPS Account No</t>
  </si>
  <si>
    <t>DDO Name:</t>
  </si>
  <si>
    <t>DDO Code:</t>
  </si>
  <si>
    <t>CPS Account No:</t>
  </si>
  <si>
    <t>8342-00-117-00-04-001-000</t>
  </si>
  <si>
    <t>……………………………….</t>
  </si>
  <si>
    <t>…………………………………..</t>
  </si>
  <si>
    <t>……………………………………</t>
  </si>
  <si>
    <t>………………………</t>
  </si>
  <si>
    <t>…………</t>
  </si>
  <si>
    <t>………………</t>
  </si>
  <si>
    <t>………….</t>
  </si>
  <si>
    <t>……………</t>
  </si>
  <si>
    <t>…</t>
  </si>
  <si>
    <t>Budget allocation for the year 20…… - 20……</t>
  </si>
  <si>
    <t>Total Deduction</t>
  </si>
  <si>
    <t>L.P(               )</t>
  </si>
  <si>
    <t>L.P(Tel)</t>
  </si>
  <si>
    <t>S.A.(             )</t>
  </si>
  <si>
    <t>Dy. E.O. Office</t>
  </si>
  <si>
    <t>ir new</t>
  </si>
  <si>
    <t>ir old</t>
  </si>
  <si>
    <t>ir diff</t>
  </si>
  <si>
    <t>IR    27%</t>
  </si>
  <si>
    <t>IR  27%</t>
  </si>
  <si>
    <t>Certified that the D.A.is claimed in terms of  G.O.Ms.No.63 Finance Dept.,dated…./…/…….</t>
  </si>
  <si>
    <t>Date of Increment after AAS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</si>
</sst>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రూ&quot;\ #,##0;&quot;రూ&quot;\ \-#,##0"/>
    <numFmt numFmtId="173" formatCode="&quot;రూ&quot;\ #,##0;[Red]&quot;రూ&quot;\ \-#,##0"/>
    <numFmt numFmtId="174" formatCode="&quot;రూ&quot;\ #,##0.00;&quot;రూ&quot;\ \-#,##0.00"/>
    <numFmt numFmtId="175" formatCode="&quot;రూ&quot;\ #,##0.00;[Red]&quot;రూ&quot;\ \-#,##0.00"/>
    <numFmt numFmtId="176" formatCode="_ &quot;రూ&quot;\ * #,##0_ ;_ &quot;రూ&quot;\ * \-#,##0_ ;_ &quot;రూ&quot;\ * &quot;-&quot;_ ;_ @_ "/>
    <numFmt numFmtId="177" formatCode="_ &quot;రూ&quot;\ * #,##0.00_ ;_ &quot;రూ&quot;\ * \-#,##0.00_ ;_ &quot;రూ&quot;\ * &quot;-&quot;??_ ;_ @_ "/>
    <numFmt numFmtId="178" formatCode="[$-409]mmm\-yy;@"/>
    <numFmt numFmtId="179" formatCode="[$-409]mmm/yy;@"/>
    <numFmt numFmtId="180" formatCode="mmmm\-yyyy"/>
    <numFmt numFmtId="181" formatCode="[$-409]d\-mmm\-yyyy;@"/>
    <numFmt numFmtId="182" formatCode="mmmm\-yy"/>
    <numFmt numFmtId="183" formatCode="[$-409]dddd\,\ mmmm\ dd\,\ yyyy"/>
    <numFmt numFmtId="184" formatCode="[$-409]h:mm:ss\ AM/PM"/>
    <numFmt numFmtId="185" formatCode="[$-409]mmmm\-yy;@"/>
    <numFmt numFmtId="186" formatCode="0;[Red]0"/>
  </numFmts>
  <fonts count="148">
    <font>
      <sz val="11"/>
      <color theme="1"/>
      <name val="Calibri"/>
      <family val="2"/>
    </font>
    <font>
      <sz val="11"/>
      <color indexed="8"/>
      <name val="Calibri"/>
      <family val="2"/>
    </font>
    <font>
      <sz val="10"/>
      <name val="Times New Roman"/>
      <family val="1"/>
    </font>
    <font>
      <sz val="10"/>
      <name val="Arial"/>
      <family val="2"/>
    </font>
    <font>
      <b/>
      <sz val="10"/>
      <name val="Times New Roman"/>
      <family val="1"/>
    </font>
    <font>
      <b/>
      <u val="single"/>
      <sz val="10"/>
      <name val="Times New Roman"/>
      <family val="1"/>
    </font>
    <font>
      <b/>
      <sz val="9"/>
      <name val="Times New Roman"/>
      <family val="1"/>
    </font>
    <font>
      <b/>
      <sz val="14"/>
      <name val="Times New Roman"/>
      <family val="1"/>
    </font>
    <font>
      <b/>
      <sz val="12"/>
      <name val="Times New Roman"/>
      <family val="1"/>
    </font>
    <font>
      <sz val="8"/>
      <name val="Times New Roman"/>
      <family val="1"/>
    </font>
    <font>
      <sz val="6"/>
      <name val="Times New Roman"/>
      <family val="1"/>
    </font>
    <font>
      <b/>
      <sz val="10"/>
      <color indexed="8"/>
      <name val="Times New Roman"/>
      <family val="1"/>
    </font>
    <font>
      <b/>
      <sz val="10"/>
      <color indexed="12"/>
      <name val="Times New Roman"/>
      <family val="1"/>
    </font>
    <font>
      <sz val="10"/>
      <color indexed="10"/>
      <name val="Times New Roman"/>
      <family val="1"/>
    </font>
    <font>
      <strike/>
      <sz val="10"/>
      <name val="Times New Roman"/>
      <family val="1"/>
    </font>
    <font>
      <b/>
      <sz val="11"/>
      <name val="Times New Roman"/>
      <family val="1"/>
    </font>
    <font>
      <sz val="10"/>
      <color indexed="9"/>
      <name val="Times New Roman"/>
      <family val="1"/>
    </font>
    <font>
      <sz val="5"/>
      <name val="Times New Roman"/>
      <family val="1"/>
    </font>
    <font>
      <b/>
      <sz val="10"/>
      <name val="Arial"/>
      <family val="2"/>
    </font>
    <font>
      <b/>
      <u val="single"/>
      <sz val="10"/>
      <color indexed="8"/>
      <name val="Verdana"/>
      <family val="2"/>
    </font>
    <font>
      <b/>
      <sz val="8"/>
      <name val="Times New Roman"/>
      <family val="1"/>
    </font>
    <font>
      <sz val="11"/>
      <name val="Times New Roman"/>
      <family val="1"/>
    </font>
    <font>
      <sz val="14"/>
      <name val="Times New Roman"/>
      <family val="1"/>
    </font>
    <font>
      <b/>
      <sz val="8"/>
      <name val="Arial"/>
      <family val="2"/>
    </font>
    <font>
      <sz val="16"/>
      <name val="Arial"/>
      <family val="2"/>
    </font>
    <font>
      <b/>
      <sz val="11"/>
      <name val="Arial"/>
      <family val="2"/>
    </font>
    <font>
      <b/>
      <sz val="9"/>
      <name val="Arial"/>
      <family val="2"/>
    </font>
    <font>
      <sz val="9"/>
      <name val="Arial"/>
      <family val="2"/>
    </font>
    <font>
      <sz val="11"/>
      <name val="Arial"/>
      <family val="2"/>
    </font>
    <font>
      <b/>
      <u val="single"/>
      <sz val="9"/>
      <name val="Arial"/>
      <family val="2"/>
    </font>
    <font>
      <b/>
      <sz val="12"/>
      <name val="Arial"/>
      <family val="2"/>
    </font>
    <font>
      <b/>
      <sz val="20"/>
      <name val="Times New Roman"/>
      <family val="1"/>
    </font>
    <font>
      <b/>
      <sz val="12"/>
      <name val="Verdana"/>
      <family val="2"/>
    </font>
    <font>
      <sz val="10"/>
      <name val="Verdana"/>
      <family val="2"/>
    </font>
    <font>
      <b/>
      <u val="single"/>
      <sz val="12"/>
      <name val="Times New Roman"/>
      <family val="1"/>
    </font>
    <font>
      <b/>
      <i/>
      <sz val="12"/>
      <name val="Times New Roman"/>
      <family val="1"/>
    </font>
    <font>
      <b/>
      <u val="single"/>
      <sz val="14"/>
      <name val="Times New Roman"/>
      <family val="1"/>
    </font>
    <font>
      <b/>
      <u val="single"/>
      <sz val="11"/>
      <name val="Times New Roman"/>
      <family val="1"/>
    </font>
    <font>
      <b/>
      <sz val="10"/>
      <name val="Palatino Linotype"/>
      <family val="1"/>
    </font>
    <font>
      <b/>
      <sz val="16"/>
      <name val="Times New Roman"/>
      <family val="1"/>
    </font>
    <font>
      <b/>
      <sz val="12"/>
      <color indexed="8"/>
      <name val="Times New Roman"/>
      <family val="1"/>
    </font>
    <font>
      <sz val="12"/>
      <name val="Times New Roman"/>
      <family val="1"/>
    </font>
    <font>
      <sz val="9"/>
      <name val="Times New Roman"/>
      <family val="1"/>
    </font>
    <font>
      <i/>
      <sz val="11"/>
      <name val="Times New Roman"/>
      <family val="1"/>
    </font>
    <font>
      <sz val="12"/>
      <color indexed="8"/>
      <name val="Times New Roman"/>
      <family val="1"/>
    </font>
    <font>
      <sz val="20"/>
      <color indexed="8"/>
      <name val="Times New Roman"/>
      <family val="1"/>
    </font>
    <font>
      <sz val="13"/>
      <name val="Times New Roman"/>
      <family val="1"/>
    </font>
    <font>
      <b/>
      <u val="single"/>
      <sz val="12"/>
      <color indexed="8"/>
      <name val="Times New Roman"/>
      <family val="1"/>
    </font>
    <font>
      <b/>
      <sz val="14"/>
      <name val="Rockwell"/>
      <family val="1"/>
    </font>
    <font>
      <b/>
      <sz val="14"/>
      <color indexed="8"/>
      <name val="Rockwell"/>
      <family val="1"/>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6"/>
      <color indexed="8"/>
      <name val="Times New Roman"/>
      <family val="1"/>
    </font>
    <font>
      <sz val="10"/>
      <color indexed="8"/>
      <name val="Calibri"/>
      <family val="2"/>
    </font>
    <font>
      <sz val="9"/>
      <color indexed="8"/>
      <name val="Calibri"/>
      <family val="2"/>
    </font>
    <font>
      <sz val="9"/>
      <color indexed="8"/>
      <name val="Times New Roman"/>
      <family val="1"/>
    </font>
    <font>
      <sz val="10"/>
      <color indexed="8"/>
      <name val="Times New Roman"/>
      <family val="1"/>
    </font>
    <font>
      <b/>
      <sz val="11"/>
      <color indexed="8"/>
      <name val="Times New Roman"/>
      <family val="1"/>
    </font>
    <font>
      <b/>
      <sz val="10"/>
      <color indexed="8"/>
      <name val="Calibri"/>
      <family val="2"/>
    </font>
    <font>
      <b/>
      <sz val="14"/>
      <color indexed="8"/>
      <name val="Cambria"/>
      <family val="1"/>
    </font>
    <font>
      <b/>
      <sz val="8"/>
      <color indexed="8"/>
      <name val="Times New Roman"/>
      <family val="1"/>
    </font>
    <font>
      <sz val="10"/>
      <color indexed="8"/>
      <name val="Arial Narrow"/>
      <family val="2"/>
    </font>
    <font>
      <b/>
      <sz val="12"/>
      <color indexed="8"/>
      <name val="Cambria"/>
      <family val="1"/>
    </font>
    <font>
      <b/>
      <sz val="14"/>
      <color indexed="10"/>
      <name val="Calibri"/>
      <family val="2"/>
    </font>
    <font>
      <b/>
      <sz val="10"/>
      <name val="Cambria"/>
      <family val="1"/>
    </font>
    <font>
      <sz val="16"/>
      <color indexed="10"/>
      <name val="Comic Sans MS"/>
      <family val="4"/>
    </font>
    <font>
      <b/>
      <sz val="13"/>
      <color indexed="10"/>
      <name val="Calibri"/>
      <family val="2"/>
    </font>
    <font>
      <b/>
      <sz val="10"/>
      <color indexed="10"/>
      <name val="Calibri"/>
      <family val="2"/>
    </font>
    <font>
      <b/>
      <sz val="14"/>
      <color indexed="8"/>
      <name val="Times New Roman"/>
      <family val="1"/>
    </font>
    <font>
      <b/>
      <sz val="20"/>
      <color indexed="30"/>
      <name val="Bodoni MT"/>
      <family val="1"/>
    </font>
    <font>
      <b/>
      <sz val="9"/>
      <color indexed="8"/>
      <name val="Times New Roman"/>
      <family val="1"/>
    </font>
    <font>
      <sz val="15"/>
      <color indexed="8"/>
      <name val="Times New Roman"/>
      <family val="1"/>
    </font>
    <font>
      <sz val="8"/>
      <color indexed="8"/>
      <name val="Calibri"/>
      <family val="2"/>
    </font>
    <font>
      <sz val="8"/>
      <name val="Cambria"/>
      <family val="1"/>
    </font>
    <font>
      <b/>
      <sz val="8"/>
      <name val="Cambria"/>
      <family val="1"/>
    </font>
    <font>
      <sz val="16"/>
      <name val="Cambria"/>
      <family val="1"/>
    </font>
    <font>
      <sz val="18"/>
      <name val="Cambria"/>
      <family val="1"/>
    </font>
    <font>
      <sz val="14"/>
      <name val="Cambria"/>
      <family val="1"/>
    </font>
    <font>
      <b/>
      <sz val="12"/>
      <color indexed="8"/>
      <name val="Calibri"/>
      <family val="2"/>
    </font>
    <font>
      <sz val="14"/>
      <color indexed="8"/>
      <name val="Calibri"/>
      <family val="2"/>
    </font>
    <font>
      <b/>
      <sz val="11"/>
      <name val="Calibri"/>
      <family val="2"/>
    </font>
    <font>
      <b/>
      <sz val="11"/>
      <color indexed="26"/>
      <name val="Calibri"/>
      <family val="2"/>
    </font>
    <font>
      <b/>
      <sz val="11"/>
      <color indexed="17"/>
      <name val="Calibri"/>
      <family val="2"/>
    </font>
    <font>
      <sz val="10"/>
      <color indexed="8"/>
      <name val="Arial"/>
      <family val="2"/>
    </font>
    <font>
      <sz val="10.5"/>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6"/>
      <color theme="1"/>
      <name val="Times New Roman"/>
      <family val="1"/>
    </font>
    <font>
      <sz val="10"/>
      <color theme="1"/>
      <name val="Calibri"/>
      <family val="2"/>
    </font>
    <font>
      <sz val="9"/>
      <color theme="1"/>
      <name val="Calibri"/>
      <family val="2"/>
    </font>
    <font>
      <sz val="9"/>
      <color theme="1"/>
      <name val="Times New Roman"/>
      <family val="1"/>
    </font>
    <font>
      <sz val="10"/>
      <color theme="1"/>
      <name val="Times New Roman"/>
      <family val="1"/>
    </font>
    <font>
      <b/>
      <sz val="11"/>
      <color theme="1"/>
      <name val="Times New Roman"/>
      <family val="1"/>
    </font>
    <font>
      <b/>
      <sz val="10"/>
      <color theme="1"/>
      <name val="Calibri"/>
      <family val="2"/>
    </font>
    <font>
      <b/>
      <sz val="12"/>
      <color theme="1"/>
      <name val="Times New Roman"/>
      <family val="1"/>
    </font>
    <font>
      <b/>
      <sz val="14"/>
      <color theme="1"/>
      <name val="Cambria"/>
      <family val="1"/>
    </font>
    <font>
      <b/>
      <sz val="10"/>
      <color theme="1"/>
      <name val="Times New Roman"/>
      <family val="1"/>
    </font>
    <font>
      <b/>
      <sz val="8"/>
      <color theme="1"/>
      <name val="Times New Roman"/>
      <family val="1"/>
    </font>
    <font>
      <b/>
      <sz val="20"/>
      <color rgb="FF0070C0"/>
      <name val="Bodoni MT"/>
      <family val="1"/>
    </font>
    <font>
      <b/>
      <sz val="9"/>
      <color theme="1"/>
      <name val="Times New Roman"/>
      <family val="1"/>
    </font>
    <font>
      <b/>
      <sz val="14"/>
      <color theme="1"/>
      <name val="Times New Roman"/>
      <family val="1"/>
    </font>
    <font>
      <sz val="16"/>
      <color rgb="FFFF0000"/>
      <name val="Comic Sans MS"/>
      <family val="4"/>
    </font>
    <font>
      <b/>
      <sz val="13"/>
      <color rgb="FFFF0000"/>
      <name val="Calibri"/>
      <family val="2"/>
    </font>
    <font>
      <b/>
      <sz val="10"/>
      <color rgb="FFFF0000"/>
      <name val="Calibri"/>
      <family val="2"/>
    </font>
    <font>
      <sz val="10"/>
      <color theme="1"/>
      <name val="Arial Narrow"/>
      <family val="2"/>
    </font>
    <font>
      <b/>
      <sz val="12"/>
      <color theme="1"/>
      <name val="Cambria"/>
      <family val="1"/>
    </font>
    <font>
      <b/>
      <sz val="14"/>
      <color rgb="FFFF0000"/>
      <name val="Calibri"/>
      <family val="2"/>
    </font>
    <font>
      <sz val="15"/>
      <color theme="1"/>
      <name val="Times New Roman"/>
      <family val="1"/>
    </font>
    <font>
      <sz val="12"/>
      <color theme="1"/>
      <name val="Times New Roman"/>
      <family val="1"/>
    </font>
    <font>
      <sz val="8"/>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1"/>
        <bgColor indexed="64"/>
      </patternFill>
    </fill>
    <fill>
      <patternFill patternType="solid">
        <fgColor theme="6" tint="-0.24997000396251678"/>
        <bgColor indexed="64"/>
      </patternFill>
    </fill>
  </fills>
  <borders count="1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color rgb="FFFF0000"/>
      </right>
      <top style="double">
        <color rgb="FFFF0000"/>
      </top>
      <bottom/>
    </border>
    <border>
      <left style="double">
        <color rgb="FFFF0000"/>
      </left>
      <right/>
      <top style="double">
        <color rgb="FFFF0000"/>
      </top>
      <bottom/>
    </border>
    <border>
      <left style="double">
        <color rgb="FFFF0000"/>
      </left>
      <right/>
      <top/>
      <bottom/>
    </border>
    <border>
      <left/>
      <right style="double">
        <color rgb="FFFF0000"/>
      </right>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style="thin"/>
      <right style="thin"/>
      <top style="thin"/>
      <bottom style="thin"/>
    </border>
    <border>
      <left/>
      <right style="double">
        <color rgb="FFFF0000"/>
      </right>
      <top/>
      <bottom style="thin"/>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right style="thin"/>
      <top style="medium"/>
      <bottom style="thin"/>
    </border>
    <border>
      <left style="medium">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right/>
      <top style="double">
        <color rgb="FFFF0000"/>
      </top>
      <bottom/>
    </border>
    <border>
      <left style="double">
        <color rgb="FFFF0000"/>
      </left>
      <right/>
      <top style="medium">
        <color theme="1"/>
      </top>
      <bottom/>
    </border>
    <border>
      <left/>
      <right/>
      <top style="medium">
        <color theme="1"/>
      </top>
      <bottom/>
    </border>
    <border>
      <left/>
      <right style="double">
        <color rgb="FFFF0000"/>
      </right>
      <top style="medium">
        <color theme="1"/>
      </top>
      <bottom/>
    </border>
    <border>
      <left style="double">
        <color rgb="FFFF0000"/>
      </left>
      <right/>
      <top/>
      <bottom style="medium">
        <color theme="1"/>
      </bottom>
    </border>
    <border>
      <left/>
      <right/>
      <top/>
      <bottom style="medium">
        <color theme="1"/>
      </bottom>
    </border>
    <border>
      <left/>
      <right style="medium">
        <color rgb="FFFF0000"/>
      </right>
      <top/>
      <bottom/>
    </border>
    <border>
      <left style="medium">
        <color rgb="FFFF0000"/>
      </left>
      <right/>
      <top/>
      <bottom/>
    </border>
    <border>
      <left/>
      <right style="medium">
        <color rgb="FFFF0000"/>
      </right>
      <top/>
      <bottom style="thin"/>
    </border>
    <border>
      <left style="medium">
        <color rgb="FFFF0000"/>
      </left>
      <right/>
      <top/>
      <bottom style="medium"/>
    </border>
    <border>
      <left/>
      <right/>
      <top/>
      <bottom style="medium"/>
    </border>
    <border>
      <left/>
      <right style="medium">
        <color rgb="FFFF0000"/>
      </right>
      <top/>
      <bottom style="medium"/>
    </border>
    <border>
      <left/>
      <right/>
      <top style="hair"/>
      <bottom/>
    </border>
    <border>
      <left/>
      <right style="medium">
        <color rgb="FFFF0000"/>
      </right>
      <top style="hair"/>
      <bottom/>
    </border>
    <border>
      <left style="medium">
        <color rgb="FFFF0000"/>
      </left>
      <right/>
      <top/>
      <bottom style="thin"/>
    </border>
    <border>
      <left/>
      <right style="thin"/>
      <top/>
      <bottom style="thin"/>
    </border>
    <border>
      <left/>
      <right/>
      <top style="thin"/>
      <bottom style="thin"/>
    </border>
    <border>
      <left/>
      <right style="thin"/>
      <top style="hair"/>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top style="thin"/>
      <bottom style="thin"/>
    </border>
    <border>
      <left style="thin">
        <color indexed="8"/>
      </left>
      <right style="thin">
        <color indexed="8"/>
      </right>
      <top style="thin">
        <color indexed="8"/>
      </top>
      <bottom style="thin">
        <color indexed="8"/>
      </bottom>
    </border>
    <border>
      <left style="double">
        <color rgb="FFF15241"/>
      </left>
      <right/>
      <top style="double">
        <color rgb="FFF15241"/>
      </top>
      <bottom/>
    </border>
    <border>
      <left/>
      <right/>
      <top style="double">
        <color rgb="FFF15241"/>
      </top>
      <bottom/>
    </border>
    <border>
      <left/>
      <right style="double">
        <color rgb="FFF15241"/>
      </right>
      <top style="double">
        <color rgb="FFF15241"/>
      </top>
      <bottom/>
    </border>
    <border>
      <left style="double">
        <color rgb="FFF15241"/>
      </left>
      <right/>
      <top/>
      <bottom/>
    </border>
    <border>
      <left/>
      <right style="double">
        <color rgb="FFF15241"/>
      </right>
      <top/>
      <bottom/>
    </border>
    <border>
      <left style="double">
        <color rgb="FFF15241"/>
      </left>
      <right/>
      <top/>
      <bottom style="double">
        <color rgb="FFF15241"/>
      </bottom>
    </border>
    <border>
      <left/>
      <right/>
      <top/>
      <bottom style="double">
        <color rgb="FFF15241"/>
      </bottom>
    </border>
    <border>
      <left/>
      <right style="double">
        <color rgb="FFF15241"/>
      </right>
      <top/>
      <bottom style="double">
        <color rgb="FFF15241"/>
      </bottom>
    </border>
    <border>
      <left style="double">
        <color rgb="FFFF33CC"/>
      </left>
      <right style="dashed">
        <color theme="1"/>
      </right>
      <top style="double">
        <color rgb="FFFF33CC"/>
      </top>
      <bottom style="dashed">
        <color theme="1"/>
      </bottom>
    </border>
    <border>
      <left style="dashed">
        <color theme="1"/>
      </left>
      <right style="dashed">
        <color theme="1"/>
      </right>
      <top style="double">
        <color rgb="FFFF33CC"/>
      </top>
      <bottom style="dashed">
        <color theme="1"/>
      </bottom>
    </border>
    <border>
      <left style="dashed">
        <color theme="1"/>
      </left>
      <right style="double">
        <color rgb="FFFF33CC"/>
      </right>
      <top style="double">
        <color rgb="FFFF33CC"/>
      </top>
      <bottom style="dashed">
        <color theme="1"/>
      </bottom>
    </border>
    <border>
      <left style="double">
        <color rgb="FFFF33CC"/>
      </left>
      <right style="dashed">
        <color theme="1"/>
      </right>
      <top style="dashed">
        <color theme="1"/>
      </top>
      <bottom style="dashed">
        <color theme="1"/>
      </bottom>
    </border>
    <border>
      <left style="dashed">
        <color theme="1"/>
      </left>
      <right style="dashed">
        <color theme="1"/>
      </right>
      <top style="dashed">
        <color theme="1"/>
      </top>
      <bottom style="dashed">
        <color theme="1"/>
      </bottom>
    </border>
    <border>
      <left style="dashed">
        <color theme="1"/>
      </left>
      <right style="double">
        <color rgb="FFFF33CC"/>
      </right>
      <top style="dashed">
        <color theme="1"/>
      </top>
      <bottom style="dashed">
        <color theme="1"/>
      </bottom>
    </border>
    <border>
      <left style="dashed">
        <color theme="1"/>
      </left>
      <right style="dashed">
        <color theme="1"/>
      </right>
      <top style="dashed">
        <color theme="1"/>
      </top>
      <bottom style="double">
        <color rgb="FFFF33CC"/>
      </bottom>
    </border>
    <border>
      <left style="dashed">
        <color theme="1"/>
      </left>
      <right style="double">
        <color rgb="FFFF33CC"/>
      </right>
      <top style="dashed">
        <color theme="1"/>
      </top>
      <bottom style="double">
        <color rgb="FFFF33CC"/>
      </bottom>
    </border>
    <border>
      <left style="medium"/>
      <right style="medium"/>
      <top/>
      <bottom style="medium"/>
    </border>
    <border>
      <left style="medium"/>
      <right style="medium"/>
      <top style="medium"/>
      <bottom/>
    </border>
    <border>
      <left style="medium"/>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right/>
      <top style="thick">
        <color rgb="FFFF0000"/>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medium">
        <color theme="1"/>
      </right>
      <top style="medium">
        <color theme="1"/>
      </top>
      <bottom style="medium">
        <color theme="1"/>
      </bottom>
    </border>
    <border>
      <left style="medium"/>
      <right/>
      <top style="medium"/>
      <bottom style="medium"/>
    </border>
    <border>
      <left/>
      <right style="medium"/>
      <top style="medium"/>
      <bottom style="medium"/>
    </border>
    <border>
      <left style="medium"/>
      <right/>
      <top style="medium">
        <color theme="1"/>
      </top>
      <bottom style="medium">
        <color theme="1"/>
      </bottom>
    </border>
    <border>
      <left>
        <color indexed="63"/>
      </left>
      <right>
        <color indexed="63"/>
      </right>
      <top style="thick"/>
      <bottom>
        <color indexed="63"/>
      </bottom>
    </border>
    <border>
      <left style="slantDashDot">
        <color rgb="FFFF0000"/>
      </left>
      <right/>
      <top/>
      <bottom/>
    </border>
    <border>
      <left style="thick"/>
      <right>
        <color indexed="63"/>
      </right>
      <top style="thick"/>
      <bottom style="thick"/>
    </border>
    <border>
      <left/>
      <right style="slantDashDot">
        <color rgb="FFFF0000"/>
      </right>
      <top style="slantDashDot">
        <color rgb="FFFF0000"/>
      </top>
      <bottom/>
    </border>
    <border>
      <left/>
      <right style="slantDashDot">
        <color rgb="FFFF0000"/>
      </right>
      <top/>
      <bottom/>
    </border>
    <border>
      <left/>
      <right style="slantDashDot">
        <color rgb="FFFF0000"/>
      </right>
      <top/>
      <bottom style="slantDashDot">
        <color rgb="FFFF0000"/>
      </bottom>
    </border>
    <border>
      <left style="medium"/>
      <right style="medium"/>
      <top style="medium"/>
      <bottom style="medium"/>
    </border>
    <border>
      <left style="medium">
        <color theme="1"/>
      </left>
      <right/>
      <top style="medium">
        <color theme="1"/>
      </top>
      <bottom style="medium">
        <color theme="1"/>
      </bottom>
    </border>
    <border>
      <left style="thick"/>
      <right style="slantDashDot">
        <color rgb="FFFF0000"/>
      </right>
      <top>
        <color indexed="63"/>
      </top>
      <bottom style="medium"/>
    </border>
    <border>
      <left style="medium">
        <color theme="1"/>
      </left>
      <right/>
      <top style="medium">
        <color theme="1"/>
      </top>
      <bottom/>
    </border>
    <border>
      <left style="medium"/>
      <right style="slantDashDot">
        <color rgb="FFFF0000"/>
      </right>
      <top style="medium"/>
      <bottom style="medium"/>
    </border>
    <border>
      <left>
        <color indexed="63"/>
      </left>
      <right style="medium"/>
      <top style="medium">
        <color theme="1"/>
      </top>
      <bottom style="medium">
        <color theme="1"/>
      </bottom>
    </border>
    <border>
      <left/>
      <right/>
      <top style="thick">
        <color rgb="FFFF0000"/>
      </top>
      <bottom/>
    </border>
    <border>
      <left/>
      <right/>
      <top style="thick">
        <color rgb="FFFF0000"/>
      </top>
      <bottom style="thick">
        <color rgb="FFFF0000"/>
      </bottom>
    </border>
    <border>
      <left>
        <color indexed="63"/>
      </left>
      <right style="slantDashDot">
        <color rgb="FFFF0000"/>
      </right>
      <top style="thick">
        <color rgb="FFFF0000"/>
      </top>
      <bottom>
        <color indexed="63"/>
      </bottom>
    </border>
    <border>
      <left style="medium">
        <color theme="1"/>
      </left>
      <right/>
      <top style="thick">
        <color rgb="FFFF0000"/>
      </top>
      <bottom style="medium">
        <color theme="1"/>
      </bottom>
    </border>
    <border>
      <left>
        <color indexed="63"/>
      </left>
      <right style="medium"/>
      <top style="thick">
        <color rgb="FFFF0000"/>
      </top>
      <bottom style="medium">
        <color theme="1"/>
      </bottom>
    </border>
    <border>
      <left style="medium"/>
      <right/>
      <top style="medium"/>
      <bottom style="medium">
        <color theme="1"/>
      </bottom>
    </border>
    <border>
      <left/>
      <right style="medium"/>
      <top style="medium"/>
      <bottom style="medium">
        <color theme="1"/>
      </bottom>
    </border>
    <border>
      <left/>
      <right style="medium">
        <color theme="1"/>
      </right>
      <top style="medium">
        <color theme="1"/>
      </top>
      <bottom>
        <color indexed="63"/>
      </bottom>
    </border>
    <border>
      <left>
        <color indexed="63"/>
      </left>
      <right style="thick"/>
      <top style="medium"/>
      <bottom style="medium">
        <color theme="1"/>
      </bottom>
    </border>
    <border>
      <left/>
      <right/>
      <top style="medium"/>
      <bottom style="medium"/>
    </border>
    <border>
      <left style="slantDashDot">
        <color rgb="FF00B050"/>
      </left>
      <right>
        <color indexed="63"/>
      </right>
      <top>
        <color indexed="63"/>
      </top>
      <bottom style="slantDashDot"/>
    </border>
    <border>
      <left/>
      <right/>
      <top/>
      <bottom style="slantDashDot"/>
    </border>
    <border>
      <left style="slantDashDot">
        <color rgb="FFFF0000"/>
      </left>
      <right/>
      <top style="slantDashDot">
        <color rgb="FFFF0000"/>
      </top>
      <bottom/>
    </border>
    <border>
      <left/>
      <right/>
      <top style="slantDashDot">
        <color rgb="FFFF0000"/>
      </top>
      <bottom/>
    </border>
    <border>
      <left style="slantDashDot">
        <color rgb="FFFF0000"/>
      </left>
      <right/>
      <top/>
      <bottom style="slantDashDot">
        <color rgb="FFFF0000"/>
      </bottom>
    </border>
    <border>
      <left/>
      <right/>
      <top/>
      <bottom style="slantDashDot">
        <color rgb="FFFF0000"/>
      </bottom>
    </border>
    <border>
      <left style="medium"/>
      <right/>
      <top style="medium">
        <color theme="1"/>
      </top>
      <bottom style="medium"/>
    </border>
    <border>
      <left style="slantDashDot">
        <color rgb="FF00B050"/>
      </left>
      <right/>
      <top>
        <color indexed="63"/>
      </top>
      <bottom style="slantDashDot">
        <color rgb="FF00B050"/>
      </bottom>
    </border>
    <border>
      <left/>
      <right style="slantDashDot">
        <color rgb="FF00B050"/>
      </right>
      <top>
        <color indexed="63"/>
      </top>
      <bottom style="slantDashDot">
        <color rgb="FF00B050"/>
      </bottom>
    </border>
    <border>
      <left style="slantDashDot">
        <color rgb="FF00B050"/>
      </left>
      <right/>
      <top style="slantDashDot">
        <color rgb="FF00B050"/>
      </top>
      <bottom style="slantDashDot">
        <color rgb="FF00B050"/>
      </bottom>
    </border>
    <border>
      <left/>
      <right style="slantDashDot">
        <color rgb="FF00B050"/>
      </right>
      <top style="slantDashDot">
        <color rgb="FF00B050"/>
      </top>
      <bottom style="slantDashDot">
        <color rgb="FF00B050"/>
      </bottom>
    </border>
    <border>
      <left style="slantDashDot">
        <color rgb="FF00B050"/>
      </left>
      <right/>
      <top style="slantDashDot"/>
      <bottom style="slantDashDot">
        <color theme="1"/>
      </bottom>
    </border>
    <border>
      <left/>
      <right>
        <color indexed="63"/>
      </right>
      <top style="slantDashDot"/>
      <bottom>
        <color indexed="63"/>
      </bottom>
    </border>
    <border>
      <left style="thick"/>
      <right style="thick"/>
      <top style="thick"/>
      <bottom>
        <color indexed="63"/>
      </bottom>
    </border>
    <border>
      <left style="thick"/>
      <right style="thick"/>
      <top>
        <color indexed="63"/>
      </top>
      <bottom style="thick"/>
    </border>
    <border>
      <left style="slantDashDot">
        <color theme="1"/>
      </left>
      <right/>
      <top style="medium">
        <color theme="1"/>
      </top>
      <bottom/>
    </border>
    <border>
      <left>
        <color indexed="63"/>
      </left>
      <right style="slantDashDot">
        <color rgb="FF00B050"/>
      </right>
      <top style="medium">
        <color theme="1"/>
      </top>
      <bottom>
        <color indexed="63"/>
      </bottom>
    </border>
    <border>
      <left style="slantDashDot">
        <color theme="1"/>
      </left>
      <right/>
      <top/>
      <bottom/>
    </border>
    <border>
      <left>
        <color indexed="63"/>
      </left>
      <right style="slantDashDot">
        <color rgb="FF00B050"/>
      </right>
      <top>
        <color indexed="63"/>
      </top>
      <bottom>
        <color indexed="63"/>
      </bottom>
    </border>
    <border>
      <left style="slantDashDot">
        <color theme="1"/>
      </left>
      <right/>
      <top/>
      <bottom style="medium">
        <color theme="1"/>
      </bottom>
    </border>
    <border>
      <left>
        <color indexed="63"/>
      </left>
      <right style="slantDashDot">
        <color rgb="FF00B050"/>
      </right>
      <top>
        <color indexed="63"/>
      </top>
      <bottom style="medium">
        <color theme="1"/>
      </bottom>
    </border>
    <border>
      <left/>
      <right style="medium">
        <color theme="1"/>
      </right>
      <top style="slantDashDot"/>
      <bottom/>
    </border>
    <border>
      <left style="medium">
        <color theme="1"/>
      </left>
      <right style="medium">
        <color theme="1"/>
      </right>
      <top style="slantDashDot"/>
      <bottom/>
    </border>
    <border>
      <left style="medium">
        <color theme="1"/>
      </left>
      <right style="medium">
        <color theme="1"/>
      </right>
      <top style="slantDashDot"/>
      <bottom style="slantDashDot"/>
    </border>
    <border>
      <left style="medium">
        <color theme="1"/>
      </left>
      <right>
        <color indexed="63"/>
      </right>
      <top style="slantDashDot"/>
      <bottom style="slantDashDot"/>
    </border>
    <border>
      <left style="medium">
        <color theme="1"/>
      </left>
      <right>
        <color indexed="63"/>
      </right>
      <top style="medium"/>
      <bottom style="medium">
        <color theme="1"/>
      </bottom>
    </border>
    <border>
      <left>
        <color indexed="63"/>
      </left>
      <right>
        <color indexed="63"/>
      </right>
      <top style="medium"/>
      <bottom style="medium">
        <color theme="1"/>
      </bottom>
    </border>
    <border>
      <left>
        <color indexed="63"/>
      </left>
      <right style="slantDashDot">
        <color rgb="FFFF0000"/>
      </right>
      <top style="medium"/>
      <bottom style="medium">
        <color theme="1"/>
      </bottom>
    </border>
    <border>
      <left/>
      <right/>
      <top style="slantDashDot">
        <color rgb="FF00B050"/>
      </top>
      <bottom style="slantDashDot">
        <color rgb="FF00B050"/>
      </bottom>
    </border>
    <border>
      <left>
        <color indexed="63"/>
      </left>
      <right>
        <color indexed="63"/>
      </right>
      <top style="medium">
        <color theme="1"/>
      </top>
      <bottom style="medium"/>
    </border>
    <border>
      <left>
        <color indexed="63"/>
      </left>
      <right style="medium"/>
      <top style="medium">
        <color theme="1"/>
      </top>
      <bottom style="medium"/>
    </border>
    <border>
      <left style="thin"/>
      <right style="thin"/>
      <top style="thin"/>
      <bottom>
        <color indexed="63"/>
      </bottom>
    </border>
    <border>
      <left style="thin"/>
      <right style="thin"/>
      <top>
        <color indexed="63"/>
      </top>
      <bottom style="thin"/>
    </border>
    <border>
      <left/>
      <right style="thin"/>
      <top style="thin"/>
      <bottom style="thin"/>
    </border>
    <border>
      <left/>
      <right/>
      <top/>
      <bottom style="hair"/>
    </border>
    <border>
      <left/>
      <right style="medium">
        <color rgb="FFFF0000"/>
      </right>
      <top/>
      <bottom style="hair"/>
    </border>
    <border>
      <left/>
      <right/>
      <top style="medium"/>
      <bottom/>
    </border>
    <border>
      <left/>
      <right style="medium">
        <color rgb="FFFF0000"/>
      </right>
      <top style="medium"/>
      <bottom/>
    </border>
    <border>
      <left style="thin"/>
      <right/>
      <top style="medium"/>
      <bottom/>
    </border>
    <border>
      <left/>
      <right/>
      <top style="hair"/>
      <bottom style="hair"/>
    </border>
    <border>
      <left/>
      <right style="medium">
        <color rgb="FFFF0000"/>
      </right>
      <top style="hair"/>
      <bottom style="hair"/>
    </border>
    <border>
      <left style="thin"/>
      <right style="medium">
        <color rgb="FFFF0000"/>
      </right>
      <top style="thin"/>
      <bottom style="thin"/>
    </border>
    <border>
      <left/>
      <right style="thin"/>
      <top style="hair"/>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right style="medium">
        <color rgb="FFFF0000"/>
      </right>
      <top style="thin"/>
      <bottom/>
    </border>
    <border>
      <left/>
      <right style="medium">
        <color rgb="FFFF0000"/>
      </right>
      <top style="thin"/>
      <bottom style="thin"/>
    </border>
    <border>
      <left style="medium">
        <color rgb="FFFF0000"/>
      </left>
      <right/>
      <top style="thin"/>
      <bottom/>
    </border>
    <border>
      <left/>
      <right/>
      <top/>
      <bottom style="hair">
        <color theme="1"/>
      </bottom>
    </border>
    <border>
      <left/>
      <right style="medium">
        <color rgb="FFFF0000"/>
      </right>
      <top/>
      <bottom style="hair">
        <color theme="1"/>
      </bottom>
    </border>
    <border>
      <left style="double">
        <color rgb="FFFF0000"/>
      </left>
      <right/>
      <top/>
      <bottom style="medium"/>
    </border>
    <border>
      <left/>
      <right style="double">
        <color rgb="FFFF0000"/>
      </right>
      <top/>
      <bottom style="medium"/>
    </border>
    <border>
      <left/>
      <right style="double">
        <color rgb="FFFF0000"/>
      </right>
      <top/>
      <bottom style="medium">
        <color theme="1"/>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medium">
        <color indexed="8"/>
      </right>
      <top style="thin">
        <color indexed="8"/>
      </top>
      <bottom/>
    </border>
    <border>
      <left/>
      <right style="medium">
        <color indexed="8"/>
      </right>
      <top/>
      <bottom style="thin">
        <color indexed="8"/>
      </bottom>
    </border>
    <border>
      <left/>
      <right/>
      <top/>
      <bottom style="medium">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30" borderId="1" applyNumberFormat="0" applyAlignment="0" applyProtection="0"/>
    <xf numFmtId="0" fontId="117" fillId="0" borderId="6" applyNumberFormat="0" applyFill="0" applyAlignment="0" applyProtection="0"/>
    <xf numFmtId="0" fontId="118"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119" fillId="27" borderId="8" applyNumberFormat="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cellStyleXfs>
  <cellXfs count="73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4" fillId="0" borderId="0" xfId="0" applyFont="1" applyAlignment="1" applyProtection="1">
      <alignment vertical="top" wrapText="1"/>
      <protection hidden="1" locked="0"/>
    </xf>
    <xf numFmtId="0" fontId="0" fillId="0" borderId="0" xfId="0" applyAlignment="1" applyProtection="1">
      <alignment/>
      <protection hidden="1"/>
    </xf>
    <xf numFmtId="0" fontId="3" fillId="0" borderId="0" xfId="0" applyFont="1" applyAlignment="1">
      <alignment/>
    </xf>
    <xf numFmtId="0" fontId="0" fillId="0" borderId="0" xfId="0" applyAlignment="1">
      <alignment vertical="center"/>
    </xf>
    <xf numFmtId="17" fontId="0" fillId="0" borderId="0" xfId="0" applyNumberFormat="1" applyAlignment="1">
      <alignment/>
    </xf>
    <xf numFmtId="0" fontId="0" fillId="0" borderId="0" xfId="0" applyNumberFormat="1" applyAlignment="1">
      <alignment/>
    </xf>
    <xf numFmtId="0" fontId="123" fillId="0" borderId="0" xfId="0" applyFont="1" applyAlignment="1">
      <alignment vertical="center"/>
    </xf>
    <xf numFmtId="0" fontId="123" fillId="0" borderId="0" xfId="0" applyFont="1" applyAlignment="1">
      <alignment/>
    </xf>
    <xf numFmtId="0" fontId="2" fillId="0" borderId="0" xfId="58" applyFont="1">
      <alignment/>
      <protection/>
    </xf>
    <xf numFmtId="0" fontId="33" fillId="0" borderId="0" xfId="58" applyFont="1">
      <alignment/>
      <protection/>
    </xf>
    <xf numFmtId="0" fontId="30" fillId="0" borderId="0" xfId="58" applyFont="1" applyAlignment="1">
      <alignment horizontal="center"/>
      <protection/>
    </xf>
    <xf numFmtId="0" fontId="7" fillId="0" borderId="0" xfId="58" applyFont="1" applyAlignment="1">
      <alignment horizontal="center"/>
      <protection/>
    </xf>
    <xf numFmtId="0" fontId="34" fillId="0" borderId="0" xfId="58" applyFont="1" applyAlignment="1">
      <alignment horizontal="center"/>
      <protection/>
    </xf>
    <xf numFmtId="0" fontId="8" fillId="0" borderId="0" xfId="58" applyFont="1" applyAlignment="1">
      <alignment horizontal="center"/>
      <protection/>
    </xf>
    <xf numFmtId="0" fontId="36" fillId="0" borderId="0" xfId="58" applyFont="1" applyAlignment="1">
      <alignment horizontal="center" vertical="center"/>
      <protection/>
    </xf>
    <xf numFmtId="0" fontId="37" fillId="0" borderId="0" xfId="58" applyFont="1" applyAlignment="1">
      <alignment horizontal="center"/>
      <protection/>
    </xf>
    <xf numFmtId="0" fontId="23" fillId="0" borderId="0" xfId="58" applyFont="1" applyBorder="1" applyAlignment="1">
      <alignment vertical="top" wrapText="1"/>
      <protection/>
    </xf>
    <xf numFmtId="0" fontId="124" fillId="0" borderId="0" xfId="0" applyFont="1" applyAlignment="1" applyProtection="1">
      <alignment vertical="center"/>
      <protection hidden="1"/>
    </xf>
    <xf numFmtId="0" fontId="124" fillId="0" borderId="0" xfId="0" applyFont="1" applyAlignment="1" applyProtection="1">
      <alignment horizontal="center"/>
      <protection hidden="1"/>
    </xf>
    <xf numFmtId="0" fontId="0" fillId="0" borderId="0" xfId="0" applyAlignment="1" applyProtection="1">
      <alignment vertical="center"/>
      <protection hidden="1"/>
    </xf>
    <xf numFmtId="0" fontId="121" fillId="0" borderId="0" xfId="0" applyFont="1" applyAlignment="1" applyProtection="1">
      <alignment horizontal="left" vertical="center"/>
      <protection hidden="1"/>
    </xf>
    <xf numFmtId="0" fontId="0" fillId="0" borderId="0" xfId="0" applyAlignment="1" applyProtection="1">
      <alignment/>
      <protection/>
    </xf>
    <xf numFmtId="0" fontId="0" fillId="0" borderId="0" xfId="0" applyAlignment="1" applyProtection="1">
      <alignment horizontal="left"/>
      <protection hidden="1"/>
    </xf>
    <xf numFmtId="0" fontId="0" fillId="0" borderId="10"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0" fontId="0" fillId="0" borderId="13" xfId="0" applyBorder="1" applyAlignment="1" applyProtection="1">
      <alignment/>
      <protection hidden="1"/>
    </xf>
    <xf numFmtId="0" fontId="125" fillId="0" borderId="12" xfId="0" applyFont="1" applyBorder="1" applyAlignment="1" applyProtection="1">
      <alignment/>
      <protection hidden="1"/>
    </xf>
    <xf numFmtId="0" fontId="3" fillId="0" borderId="0" xfId="0" applyFont="1" applyBorder="1" applyAlignment="1" applyProtection="1">
      <alignment/>
      <protection hidden="1"/>
    </xf>
    <xf numFmtId="0" fontId="126" fillId="0" borderId="12" xfId="0" applyFont="1"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0" fillId="0" borderId="18" xfId="0" applyBorder="1" applyAlignment="1" applyProtection="1">
      <alignment/>
      <protection hidden="1"/>
    </xf>
    <xf numFmtId="0" fontId="27" fillId="0" borderId="0" xfId="0" applyFont="1" applyBorder="1" applyAlignment="1" applyProtection="1">
      <alignmen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23" fillId="0" borderId="0" xfId="0" applyFont="1" applyBorder="1" applyAlignment="1" applyProtection="1">
      <alignment/>
      <protection hidden="1"/>
    </xf>
    <xf numFmtId="0" fontId="18" fillId="0" borderId="0" xfId="0" applyFont="1" applyBorder="1" applyAlignment="1" applyProtection="1">
      <alignment/>
      <protection hidden="1"/>
    </xf>
    <xf numFmtId="0" fontId="25" fillId="0" borderId="2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8" fillId="0" borderId="0" xfId="0" applyFont="1" applyBorder="1" applyAlignment="1" applyProtection="1">
      <alignment horizontal="left" vertical="center"/>
      <protection hidden="1"/>
    </xf>
    <xf numFmtId="0" fontId="28" fillId="0" borderId="0" xfId="0" applyFont="1" applyBorder="1" applyAlignment="1" applyProtection="1">
      <alignment vertical="center"/>
      <protection hidden="1"/>
    </xf>
    <xf numFmtId="0" fontId="3" fillId="0" borderId="0" xfId="0" applyFont="1" applyBorder="1" applyAlignment="1" applyProtection="1">
      <alignment/>
      <protection hidden="1"/>
    </xf>
    <xf numFmtId="0" fontId="3" fillId="0" borderId="13" xfId="0" applyFont="1" applyBorder="1" applyAlignment="1" applyProtection="1">
      <alignment/>
      <protection hidden="1"/>
    </xf>
    <xf numFmtId="0" fontId="18" fillId="0" borderId="22" xfId="0" applyFont="1" applyBorder="1" applyAlignment="1" applyProtection="1">
      <alignment/>
      <protection hidden="1"/>
    </xf>
    <xf numFmtId="0" fontId="126" fillId="0" borderId="12" xfId="0" applyFont="1" applyBorder="1" applyAlignment="1" applyProtection="1">
      <alignment vertical="center"/>
      <protection hidden="1"/>
    </xf>
    <xf numFmtId="0" fontId="0" fillId="0" borderId="0" xfId="0" applyBorder="1" applyAlignment="1" applyProtection="1">
      <alignment vertical="center"/>
      <protection hidden="1"/>
    </xf>
    <xf numFmtId="0" fontId="18" fillId="0" borderId="21"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3" xfId="0" applyBorder="1" applyAlignment="1" applyProtection="1">
      <alignment vertical="center"/>
      <protection hidden="1"/>
    </xf>
    <xf numFmtId="0" fontId="0" fillId="0" borderId="12" xfId="0" applyBorder="1" applyAlignment="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protection hidden="1"/>
    </xf>
    <xf numFmtId="0" fontId="29" fillId="0" borderId="0" xfId="0" applyFont="1" applyBorder="1" applyAlignment="1" applyProtection="1">
      <alignment/>
      <protection hidden="1"/>
    </xf>
    <xf numFmtId="0" fontId="0" fillId="0" borderId="20" xfId="0" applyBorder="1" applyAlignment="1" applyProtection="1">
      <alignment/>
      <protection hidden="1"/>
    </xf>
    <xf numFmtId="0" fontId="0" fillId="0" borderId="0" xfId="0" applyBorder="1" applyAlignment="1" applyProtection="1">
      <alignment/>
      <protection hidden="1"/>
    </xf>
    <xf numFmtId="0" fontId="19" fillId="0" borderId="0" xfId="0" applyFont="1" applyBorder="1" applyAlignment="1" applyProtection="1">
      <alignment/>
      <protection hidden="1"/>
    </xf>
    <xf numFmtId="0" fontId="0" fillId="0" borderId="23" xfId="0" applyBorder="1" applyAlignment="1" applyProtection="1">
      <alignment/>
      <protection hidden="1"/>
    </xf>
    <xf numFmtId="0" fontId="0" fillId="0" borderId="24" xfId="0" applyBorder="1" applyAlignment="1" applyProtection="1">
      <alignment/>
      <protection hidden="1"/>
    </xf>
    <xf numFmtId="0" fontId="0" fillId="0" borderId="25" xfId="0" applyBorder="1" applyAlignment="1" applyProtection="1">
      <alignment/>
      <protection hidden="1"/>
    </xf>
    <xf numFmtId="0" fontId="2" fillId="0" borderId="0" xfId="58" applyFont="1" applyProtection="1">
      <alignment/>
      <protection hidden="1"/>
    </xf>
    <xf numFmtId="0" fontId="34" fillId="0" borderId="0" xfId="58" applyFont="1" applyAlignment="1" applyProtection="1">
      <alignment horizontal="center"/>
      <protection hidden="1"/>
    </xf>
    <xf numFmtId="0" fontId="2" fillId="0" borderId="0" xfId="58" applyFont="1" applyAlignment="1" applyProtection="1">
      <alignment horizontal="left" vertical="center"/>
      <protection hidden="1"/>
    </xf>
    <xf numFmtId="49" fontId="21" fillId="0" borderId="0" xfId="58" applyNumberFormat="1" applyFont="1" applyAlignment="1" applyProtection="1">
      <alignment vertical="center"/>
      <protection hidden="1"/>
    </xf>
    <xf numFmtId="0" fontId="2" fillId="0" borderId="0" xfId="58" applyFont="1" applyAlignment="1" applyProtection="1">
      <alignment vertical="center"/>
      <protection hidden="1"/>
    </xf>
    <xf numFmtId="0" fontId="2" fillId="0" borderId="0" xfId="58" applyFont="1" applyBorder="1" applyAlignment="1" applyProtection="1">
      <alignment horizontal="left" vertical="center"/>
      <protection hidden="1"/>
    </xf>
    <xf numFmtId="0" fontId="8" fillId="0" borderId="0" xfId="58" applyFont="1" applyAlignment="1" applyProtection="1">
      <alignment horizontal="center"/>
      <protection hidden="1"/>
    </xf>
    <xf numFmtId="0" fontId="4" fillId="0" borderId="26" xfId="58" applyFont="1" applyBorder="1" applyAlignment="1" applyProtection="1">
      <alignment horizontal="center" vertical="center" wrapText="1"/>
      <protection hidden="1"/>
    </xf>
    <xf numFmtId="0" fontId="4" fillId="0" borderId="27" xfId="58" applyFont="1" applyBorder="1" applyAlignment="1" applyProtection="1">
      <alignment horizontal="center" wrapText="1"/>
      <protection hidden="1"/>
    </xf>
    <xf numFmtId="0" fontId="8" fillId="0" borderId="28" xfId="58" applyFont="1" applyBorder="1" applyAlignment="1" applyProtection="1">
      <alignment horizontal="center" vertical="center"/>
      <protection hidden="1"/>
    </xf>
    <xf numFmtId="0" fontId="8" fillId="0" borderId="0" xfId="58" applyFont="1" applyBorder="1" applyAlignment="1" applyProtection="1">
      <alignment horizontal="center" vertical="center"/>
      <protection hidden="1"/>
    </xf>
    <xf numFmtId="0" fontId="35" fillId="0" borderId="0" xfId="58" applyFont="1" applyBorder="1" applyAlignment="1" applyProtection="1">
      <alignment horizontal="center" vertical="center"/>
      <protection hidden="1"/>
    </xf>
    <xf numFmtId="0" fontId="8" fillId="0" borderId="0" xfId="58" applyFont="1" applyBorder="1" applyProtection="1">
      <alignment/>
      <protection hidden="1"/>
    </xf>
    <xf numFmtId="2" fontId="8" fillId="0" borderId="0" xfId="58" applyNumberFormat="1" applyFont="1" applyBorder="1" applyProtection="1">
      <alignment/>
      <protection hidden="1"/>
    </xf>
    <xf numFmtId="0" fontId="4" fillId="0" borderId="0" xfId="58" applyFont="1" applyBorder="1" applyAlignment="1" applyProtection="1">
      <alignment vertical="center"/>
      <protection hidden="1"/>
    </xf>
    <xf numFmtId="0" fontId="7" fillId="0" borderId="0" xfId="58" applyFont="1" applyBorder="1" applyAlignment="1" applyProtection="1">
      <alignment horizontal="center" vertical="center"/>
      <protection hidden="1"/>
    </xf>
    <xf numFmtId="1" fontId="22" fillId="0" borderId="0" xfId="58" applyNumberFormat="1" applyFont="1" applyBorder="1" applyAlignment="1" applyProtection="1">
      <alignment horizontal="center" vertical="center"/>
      <protection hidden="1"/>
    </xf>
    <xf numFmtId="0" fontId="4" fillId="0" borderId="0" xfId="58" applyFont="1" applyAlignment="1" applyProtection="1">
      <alignment horizontal="left" vertical="center"/>
      <protection hidden="1"/>
    </xf>
    <xf numFmtId="0" fontId="4" fillId="0" borderId="0" xfId="58" applyFont="1" applyAlignment="1" applyProtection="1">
      <alignment vertical="center"/>
      <protection hidden="1"/>
    </xf>
    <xf numFmtId="0" fontId="4" fillId="0" borderId="0" xfId="58" applyFont="1" applyAlignment="1" applyProtection="1">
      <alignment horizontal="right" vertical="center"/>
      <protection hidden="1"/>
    </xf>
    <xf numFmtId="0" fontId="37" fillId="0" borderId="0" xfId="58" applyFont="1" applyAlignment="1" applyProtection="1">
      <alignment horizontal="center"/>
      <protection hidden="1"/>
    </xf>
    <xf numFmtId="0" fontId="4" fillId="0" borderId="0" xfId="58" applyNumberFormat="1" applyFont="1" applyBorder="1" applyAlignment="1" applyProtection="1">
      <alignment horizontal="left"/>
      <protection hidden="1"/>
    </xf>
    <xf numFmtId="0" fontId="9" fillId="0" borderId="0" xfId="58" applyFont="1" applyBorder="1" applyAlignment="1" applyProtection="1">
      <alignment/>
      <protection hidden="1"/>
    </xf>
    <xf numFmtId="0" fontId="2" fillId="0" borderId="0" xfId="58" applyFont="1" applyBorder="1" applyAlignment="1" applyProtection="1">
      <alignment/>
      <protection hidden="1"/>
    </xf>
    <xf numFmtId="0" fontId="4" fillId="0" borderId="0" xfId="58" applyFont="1" applyBorder="1" applyAlignment="1" applyProtection="1">
      <alignment/>
      <protection hidden="1"/>
    </xf>
    <xf numFmtId="0" fontId="2" fillId="0" borderId="0" xfId="58" applyFont="1" applyBorder="1" applyProtection="1">
      <alignment/>
      <protection hidden="1"/>
    </xf>
    <xf numFmtId="0" fontId="4" fillId="0" borderId="0" xfId="58" applyFont="1" applyBorder="1" applyAlignment="1" applyProtection="1">
      <alignment horizontal="left"/>
      <protection hidden="1"/>
    </xf>
    <xf numFmtId="0" fontId="6" fillId="0" borderId="0" xfId="58" applyFont="1" applyAlignment="1" applyProtection="1">
      <alignment horizontal="left" vertical="center"/>
      <protection hidden="1"/>
    </xf>
    <xf numFmtId="0" fontId="6" fillId="0" borderId="0" xfId="58" applyFont="1" applyAlignment="1" applyProtection="1">
      <alignment horizontal="left" vertical="center" wrapText="1"/>
      <protection hidden="1"/>
    </xf>
    <xf numFmtId="0" fontId="20" fillId="0" borderId="0" xfId="58" applyFont="1" applyBorder="1" applyAlignment="1" applyProtection="1">
      <alignment horizontal="left" vertical="center" wrapText="1"/>
      <protection hidden="1"/>
    </xf>
    <xf numFmtId="0" fontId="4" fillId="0" borderId="0" xfId="58" applyFont="1" applyAlignment="1" applyProtection="1">
      <alignment horizontal="left"/>
      <protection hidden="1"/>
    </xf>
    <xf numFmtId="0" fontId="2" fillId="0" borderId="0" xfId="58" applyFont="1" applyAlignment="1" applyProtection="1">
      <alignment/>
      <protection hidden="1"/>
    </xf>
    <xf numFmtId="0" fontId="123" fillId="0" borderId="0" xfId="0" applyFont="1" applyAlignment="1" applyProtection="1">
      <alignment/>
      <protection hidden="1"/>
    </xf>
    <xf numFmtId="0" fontId="4" fillId="0" borderId="29" xfId="58" applyFont="1" applyBorder="1" applyAlignment="1" applyProtection="1">
      <alignment vertical="center"/>
      <protection hidden="1"/>
    </xf>
    <xf numFmtId="0" fontId="15" fillId="0" borderId="30" xfId="58" applyFont="1" applyBorder="1" applyAlignment="1" applyProtection="1">
      <alignment horizontal="center" vertical="center"/>
      <protection hidden="1"/>
    </xf>
    <xf numFmtId="0" fontId="15" fillId="0" borderId="31" xfId="58" applyFont="1" applyBorder="1" applyAlignment="1" applyProtection="1">
      <alignment horizontal="center" vertical="center"/>
      <protection hidden="1"/>
    </xf>
    <xf numFmtId="0" fontId="21" fillId="0" borderId="28" xfId="58" applyFont="1" applyBorder="1" applyProtection="1">
      <alignment/>
      <protection hidden="1"/>
    </xf>
    <xf numFmtId="0" fontId="21" fillId="0" borderId="0" xfId="58" applyFont="1" applyBorder="1" applyProtection="1">
      <alignment/>
      <protection hidden="1"/>
    </xf>
    <xf numFmtId="0" fontId="21" fillId="0" borderId="0" xfId="58" applyFont="1" applyBorder="1" applyAlignment="1" applyProtection="1">
      <alignment horizontal="center"/>
      <protection hidden="1"/>
    </xf>
    <xf numFmtId="0" fontId="15" fillId="0" borderId="0" xfId="58" applyFont="1" applyBorder="1" applyAlignment="1" applyProtection="1">
      <alignment horizontal="center" vertical="center"/>
      <protection hidden="1"/>
    </xf>
    <xf numFmtId="2" fontId="15" fillId="0" borderId="0" xfId="58" applyNumberFormat="1" applyFont="1" applyBorder="1" applyAlignment="1" applyProtection="1">
      <alignment horizontal="center" vertical="center"/>
      <protection hidden="1"/>
    </xf>
    <xf numFmtId="0" fontId="6" fillId="0" borderId="0" xfId="58" applyFont="1" applyBorder="1" applyAlignment="1" applyProtection="1">
      <alignment vertical="center"/>
      <protection hidden="1"/>
    </xf>
    <xf numFmtId="1" fontId="4" fillId="0" borderId="0" xfId="58" applyNumberFormat="1" applyFont="1" applyBorder="1" applyAlignment="1" applyProtection="1">
      <alignment horizontal="left" vertical="center"/>
      <protection hidden="1"/>
    </xf>
    <xf numFmtId="0" fontId="0" fillId="0" borderId="11" xfId="0" applyFill="1" applyBorder="1" applyAlignment="1" applyProtection="1">
      <alignment vertical="center"/>
      <protection hidden="1"/>
    </xf>
    <xf numFmtId="0" fontId="0" fillId="0" borderId="32" xfId="0" applyFill="1" applyBorder="1" applyAlignment="1" applyProtection="1">
      <alignment vertical="center"/>
      <protection hidden="1"/>
    </xf>
    <xf numFmtId="0" fontId="0" fillId="0" borderId="10" xfId="0" applyFill="1" applyBorder="1" applyAlignment="1" applyProtection="1">
      <alignment vertical="center"/>
      <protection hidden="1"/>
    </xf>
    <xf numFmtId="0" fontId="0" fillId="0" borderId="12" xfId="0" applyFill="1" applyBorder="1" applyAlignment="1" applyProtection="1" quotePrefix="1">
      <alignment horizontal="center" vertical="center"/>
      <protection hidden="1"/>
    </xf>
    <xf numFmtId="0" fontId="0" fillId="0" borderId="0"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0" xfId="0" applyFill="1" applyBorder="1" applyAlignment="1" applyProtection="1">
      <alignment/>
      <protection hidden="1"/>
    </xf>
    <xf numFmtId="0" fontId="0" fillId="0" borderId="33" xfId="0" applyFill="1" applyBorder="1" applyAlignment="1" applyProtection="1">
      <alignment vertical="center"/>
      <protection hidden="1"/>
    </xf>
    <xf numFmtId="0" fontId="0" fillId="0" borderId="34" xfId="0" applyFill="1" applyBorder="1" applyAlignment="1" applyProtection="1">
      <alignment vertical="center"/>
      <protection hidden="1"/>
    </xf>
    <xf numFmtId="0" fontId="0" fillId="0" borderId="34" xfId="0" applyFill="1" applyBorder="1" applyAlignment="1" applyProtection="1">
      <alignment/>
      <protection hidden="1"/>
    </xf>
    <xf numFmtId="0" fontId="0" fillId="0" borderId="35" xfId="0" applyFill="1" applyBorder="1" applyAlignment="1" applyProtection="1">
      <alignment vertical="center"/>
      <protection hidden="1"/>
    </xf>
    <xf numFmtId="2" fontId="32" fillId="0" borderId="0" xfId="0" applyNumberFormat="1" applyFont="1" applyFill="1" applyBorder="1" applyAlignment="1" applyProtection="1">
      <alignment vertical="center"/>
      <protection hidden="1"/>
    </xf>
    <xf numFmtId="0" fontId="0" fillId="0" borderId="36" xfId="0" applyFill="1" applyBorder="1" applyAlignment="1" applyProtection="1">
      <alignment vertical="center"/>
      <protection hidden="1"/>
    </xf>
    <xf numFmtId="0" fontId="0" fillId="0" borderId="37" xfId="0" applyFill="1" applyBorder="1" applyAlignment="1" applyProtection="1">
      <alignment vertical="center"/>
      <protection hidden="1"/>
    </xf>
    <xf numFmtId="0" fontId="0" fillId="0" borderId="12" xfId="0" applyFill="1" applyBorder="1" applyAlignment="1" applyProtection="1" quotePrefix="1">
      <alignment vertical="center" wrapText="1"/>
      <protection hidden="1"/>
    </xf>
    <xf numFmtId="0" fontId="0" fillId="0" borderId="12" xfId="0" applyFill="1" applyBorder="1" applyAlignment="1" applyProtection="1" quotePrefix="1">
      <alignment vertical="center"/>
      <protection hidden="1"/>
    </xf>
    <xf numFmtId="0" fontId="3" fillId="0" borderId="13" xfId="0" applyFont="1" applyFill="1" applyBorder="1" applyAlignment="1" applyProtection="1">
      <alignment vertical="center"/>
      <protection hidden="1"/>
    </xf>
    <xf numFmtId="0" fontId="123" fillId="0" borderId="0" xfId="0" applyFont="1" applyAlignment="1" applyProtection="1">
      <alignment vertical="center"/>
      <protection hidden="1"/>
    </xf>
    <xf numFmtId="0" fontId="4" fillId="0" borderId="0" xfId="0" applyFont="1" applyBorder="1" applyAlignment="1" applyProtection="1">
      <alignment vertical="center" textRotation="90"/>
      <protection hidden="1"/>
    </xf>
    <xf numFmtId="0" fontId="11" fillId="0" borderId="21"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23" fillId="0" borderId="0" xfId="0" applyFont="1" applyBorder="1" applyAlignment="1" applyProtection="1">
      <alignment vertical="center"/>
      <protection hidden="1"/>
    </xf>
    <xf numFmtId="0" fontId="127" fillId="0" borderId="15" xfId="0" applyFont="1" applyBorder="1" applyAlignment="1" applyProtection="1">
      <alignment vertical="center"/>
      <protection hidden="1"/>
    </xf>
    <xf numFmtId="0" fontId="9" fillId="0" borderId="38" xfId="0" applyFont="1" applyBorder="1" applyAlignment="1" applyProtection="1">
      <alignment vertical="center" wrapText="1"/>
      <protection hidden="1"/>
    </xf>
    <xf numFmtId="0" fontId="10" fillId="0" borderId="39"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23" fillId="0" borderId="15" xfId="0" applyFont="1" applyBorder="1" applyAlignment="1" applyProtection="1">
      <alignment vertical="center"/>
      <protection hidden="1"/>
    </xf>
    <xf numFmtId="0" fontId="2" fillId="0" borderId="0" xfId="0" applyFont="1" applyBorder="1" applyAlignment="1" applyProtection="1">
      <alignment vertical="center"/>
      <protection hidden="1"/>
    </xf>
    <xf numFmtId="0" fontId="123" fillId="0" borderId="19" xfId="0" applyFont="1" applyBorder="1" applyAlignment="1" applyProtection="1">
      <alignment vertical="center"/>
      <protection hidden="1"/>
    </xf>
    <xf numFmtId="0" fontId="123" fillId="0" borderId="20" xfId="0" applyFont="1" applyBorder="1" applyAlignment="1" applyProtection="1">
      <alignment vertical="center"/>
      <protection hidden="1"/>
    </xf>
    <xf numFmtId="0" fontId="9" fillId="0" borderId="40" xfId="0" applyFont="1" applyBorder="1" applyAlignment="1" applyProtection="1">
      <alignment vertical="center" wrapText="1"/>
      <protection hidden="1"/>
    </xf>
    <xf numFmtId="0" fontId="123" fillId="0" borderId="0" xfId="0" applyFont="1" applyBorder="1" applyAlignment="1" applyProtection="1">
      <alignment/>
      <protection hidden="1"/>
    </xf>
    <xf numFmtId="0" fontId="123" fillId="0" borderId="38" xfId="0" applyFont="1" applyBorder="1" applyAlignment="1" applyProtection="1">
      <alignment/>
      <protection hidden="1"/>
    </xf>
    <xf numFmtId="0" fontId="4" fillId="0" borderId="0" xfId="0" applyNumberFormat="1" applyFont="1" applyBorder="1" applyAlignment="1" applyProtection="1">
      <alignment vertical="center"/>
      <protection hidden="1"/>
    </xf>
    <xf numFmtId="0" fontId="123" fillId="0" borderId="39" xfId="0" applyFont="1" applyBorder="1" applyAlignment="1" applyProtection="1">
      <alignment vertical="center"/>
      <protection hidden="1"/>
    </xf>
    <xf numFmtId="0" fontId="123" fillId="0" borderId="38"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123" fillId="0" borderId="0" xfId="0" applyFont="1" applyBorder="1" applyAlignment="1" applyProtection="1">
      <alignment horizontal="center" vertical="center"/>
      <protection hidden="1"/>
    </xf>
    <xf numFmtId="0" fontId="11" fillId="0" borderId="21" xfId="0" applyFont="1" applyBorder="1" applyAlignment="1" applyProtection="1" quotePrefix="1">
      <alignment horizontal="center" vertical="center"/>
      <protection hidden="1"/>
    </xf>
    <xf numFmtId="0" fontId="123" fillId="0" borderId="41" xfId="0" applyFont="1" applyBorder="1" applyAlignment="1" applyProtection="1">
      <alignment vertical="center"/>
      <protection hidden="1"/>
    </xf>
    <xf numFmtId="0" fontId="123" fillId="0" borderId="42" xfId="0" applyFont="1" applyBorder="1" applyAlignment="1" applyProtection="1">
      <alignment vertical="center"/>
      <protection hidden="1"/>
    </xf>
    <xf numFmtId="0" fontId="4" fillId="0" borderId="42" xfId="0" applyFont="1" applyBorder="1" applyAlignment="1" applyProtection="1">
      <alignment vertical="center"/>
      <protection hidden="1"/>
    </xf>
    <xf numFmtId="0" fontId="123" fillId="0" borderId="43"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123" fillId="0" borderId="18" xfId="0" applyFont="1" applyBorder="1" applyAlignment="1" applyProtection="1">
      <alignment vertical="center"/>
      <protection hidden="1"/>
    </xf>
    <xf numFmtId="0" fontId="4" fillId="0" borderId="21" xfId="0"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15" fillId="0" borderId="38"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15" fillId="0" borderId="44" xfId="0" applyFont="1" applyBorder="1" applyAlignment="1" applyProtection="1">
      <alignment vertical="center"/>
      <protection hidden="1"/>
    </xf>
    <xf numFmtId="0" fontId="15" fillId="0" borderId="45" xfId="0" applyFont="1" applyBorder="1" applyAlignment="1" applyProtection="1">
      <alignment vertical="center"/>
      <protection hidden="1"/>
    </xf>
    <xf numFmtId="0" fontId="9" fillId="0" borderId="39" xfId="0" applyFont="1" applyBorder="1" applyAlignment="1" applyProtection="1">
      <alignment vertical="center"/>
      <protection hidden="1"/>
    </xf>
    <xf numFmtId="0" fontId="123" fillId="0" borderId="4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47" xfId="0" applyFont="1" applyBorder="1" applyAlignment="1" applyProtection="1">
      <alignment vertical="center"/>
      <protection hidden="1"/>
    </xf>
    <xf numFmtId="0" fontId="123" fillId="0" borderId="47" xfId="0" applyFont="1" applyBorder="1" applyAlignment="1" applyProtection="1">
      <alignment vertical="center"/>
      <protection hidden="1"/>
    </xf>
    <xf numFmtId="0" fontId="128" fillId="0" borderId="0" xfId="0" applyFont="1" applyBorder="1" applyAlignment="1" applyProtection="1">
      <alignment vertical="center"/>
      <protection hidden="1"/>
    </xf>
    <xf numFmtId="2" fontId="16" fillId="0" borderId="0" xfId="0" applyNumberFormat="1" applyFont="1" applyBorder="1" applyAlignment="1" applyProtection="1">
      <alignment vertical="center"/>
      <protection hidden="1"/>
    </xf>
    <xf numFmtId="0" fontId="123" fillId="0" borderId="48" xfId="0" applyFont="1" applyBorder="1" applyAlignment="1" applyProtection="1">
      <alignment vertical="center"/>
      <protection hidden="1"/>
    </xf>
    <xf numFmtId="0" fontId="123" fillId="0" borderId="0" xfId="0" applyFont="1" applyFill="1" applyBorder="1" applyAlignment="1" applyProtection="1">
      <alignment vertical="center"/>
      <protection hidden="1"/>
    </xf>
    <xf numFmtId="2" fontId="17" fillId="0" borderId="0" xfId="0" applyNumberFormat="1" applyFont="1" applyBorder="1" applyAlignment="1" applyProtection="1">
      <alignment vertical="center"/>
      <protection hidden="1"/>
    </xf>
    <xf numFmtId="0" fontId="123" fillId="0" borderId="44" xfId="0" applyFont="1" applyBorder="1" applyAlignment="1" applyProtection="1">
      <alignment vertical="center"/>
      <protection hidden="1"/>
    </xf>
    <xf numFmtId="0" fontId="123" fillId="0" borderId="49"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4" fillId="0" borderId="0" xfId="0" applyFont="1" applyBorder="1" applyAlignment="1" applyProtection="1">
      <alignment vertical="center"/>
      <protection hidden="1"/>
    </xf>
    <xf numFmtId="0" fontId="4" fillId="0" borderId="38" xfId="0" applyFont="1" applyBorder="1" applyAlignment="1" applyProtection="1">
      <alignment vertical="center"/>
      <protection hidden="1"/>
    </xf>
    <xf numFmtId="0" fontId="123" fillId="0" borderId="40" xfId="0" applyFont="1" applyBorder="1" applyAlignment="1" applyProtection="1">
      <alignment vertical="center"/>
      <protection hidden="1"/>
    </xf>
    <xf numFmtId="0" fontId="123" fillId="0" borderId="39" xfId="0" applyFont="1" applyBorder="1" applyAlignment="1" applyProtection="1" quotePrefix="1">
      <alignment vertical="center"/>
      <protection hidden="1"/>
    </xf>
    <xf numFmtId="0" fontId="15" fillId="0" borderId="0" xfId="0" applyFont="1" applyBorder="1" applyAlignment="1" applyProtection="1">
      <alignment horizontal="center" vertical="top" textRotation="90"/>
      <protection hidden="1"/>
    </xf>
    <xf numFmtId="0" fontId="123" fillId="0" borderId="50" xfId="0" applyFont="1" applyBorder="1" applyAlignment="1" applyProtection="1">
      <alignment vertical="center"/>
      <protection hidden="1"/>
    </xf>
    <xf numFmtId="0" fontId="123" fillId="0" borderId="51" xfId="0" applyFont="1" applyBorder="1" applyAlignment="1" applyProtection="1">
      <alignment vertical="center"/>
      <protection hidden="1"/>
    </xf>
    <xf numFmtId="0" fontId="123" fillId="0" borderId="51" xfId="0" applyFont="1" applyBorder="1" applyAlignment="1" applyProtection="1">
      <alignment/>
      <protection hidden="1"/>
    </xf>
    <xf numFmtId="0" fontId="123" fillId="0" borderId="52" xfId="0" applyFont="1" applyBorder="1" applyAlignment="1" applyProtection="1">
      <alignment vertical="center"/>
      <protection hidden="1"/>
    </xf>
    <xf numFmtId="0" fontId="123" fillId="0" borderId="0" xfId="0" applyFont="1" applyAlignment="1" applyProtection="1">
      <alignment horizontal="center" vertical="center"/>
      <protection hidden="1"/>
    </xf>
    <xf numFmtId="0" fontId="0" fillId="0" borderId="32" xfId="0" applyBorder="1" applyAlignment="1" applyProtection="1">
      <alignment/>
      <protection hidden="1"/>
    </xf>
    <xf numFmtId="0" fontId="0" fillId="0" borderId="10" xfId="0" applyBorder="1" applyAlignment="1" applyProtection="1">
      <alignment/>
      <protection hidden="1"/>
    </xf>
    <xf numFmtId="0" fontId="0" fillId="0" borderId="21" xfId="0" applyBorder="1" applyAlignment="1" applyProtection="1">
      <alignment/>
      <protection hidden="1"/>
    </xf>
    <xf numFmtId="0" fontId="38" fillId="0" borderId="0" xfId="0"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39"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0" fillId="0" borderId="0" xfId="0" applyFill="1" applyBorder="1" applyAlignment="1" applyProtection="1">
      <alignment horizontal="left" vertical="center" wrapText="1"/>
      <protection hidden="1"/>
    </xf>
    <xf numFmtId="0" fontId="0" fillId="0" borderId="13" xfId="0" applyFill="1" applyBorder="1" applyAlignment="1" applyProtection="1">
      <alignment horizontal="left" vertical="center" wrapText="1"/>
      <protection hidden="1"/>
    </xf>
    <xf numFmtId="0" fontId="0" fillId="0" borderId="0"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47" xfId="0" applyBorder="1" applyAlignment="1" applyProtection="1">
      <alignment horizontal="center"/>
      <protection hidden="1"/>
    </xf>
    <xf numFmtId="0" fontId="25" fillId="0" borderId="53" xfId="0" applyFont="1" applyBorder="1" applyAlignment="1" applyProtection="1">
      <alignment horizontal="center" vertical="center"/>
      <protection hidden="1"/>
    </xf>
    <xf numFmtId="0" fontId="4" fillId="0" borderId="27" xfId="58" applyFont="1" applyBorder="1" applyAlignment="1" applyProtection="1">
      <alignment horizontal="center" vertical="center" wrapText="1"/>
      <protection hidden="1"/>
    </xf>
    <xf numFmtId="0" fontId="4" fillId="0" borderId="31" xfId="58" applyFont="1" applyBorder="1" applyAlignment="1" applyProtection="1">
      <alignment horizontal="center" vertical="center"/>
      <protection hidden="1"/>
    </xf>
    <xf numFmtId="0" fontId="4" fillId="33" borderId="54" xfId="58" applyFont="1" applyFill="1" applyBorder="1" applyAlignment="1" applyProtection="1">
      <alignment horizontal="left" vertical="center"/>
      <protection hidden="1"/>
    </xf>
    <xf numFmtId="0" fontId="4" fillId="0" borderId="0" xfId="58" applyFont="1" applyBorder="1" applyAlignment="1" applyProtection="1">
      <alignment horizontal="left" vertical="center"/>
      <protection hidden="1"/>
    </xf>
    <xf numFmtId="0" fontId="2" fillId="0" borderId="0" xfId="58" applyFont="1" applyBorder="1" applyAlignment="1" applyProtection="1">
      <alignment horizontal="center"/>
      <protection hidden="1"/>
    </xf>
    <xf numFmtId="0" fontId="4" fillId="0" borderId="0" xfId="58" applyFont="1" applyBorder="1" applyAlignment="1" applyProtection="1">
      <alignment horizontal="center" vertical="center"/>
      <protection hidden="1"/>
    </xf>
    <xf numFmtId="0" fontId="33" fillId="0" borderId="0" xfId="58" applyFont="1" applyProtection="1">
      <alignment/>
      <protection hidden="1"/>
    </xf>
    <xf numFmtId="0" fontId="5" fillId="0" borderId="0" xfId="0" applyFont="1" applyAlignment="1" applyProtection="1">
      <alignment vertical="center"/>
      <protection hidden="1"/>
    </xf>
    <xf numFmtId="0" fontId="4" fillId="0" borderId="0" xfId="0" applyFont="1" applyAlignment="1" applyProtection="1">
      <alignment vertical="top"/>
      <protection hidden="1"/>
    </xf>
    <xf numFmtId="0" fontId="4" fillId="0" borderId="0" xfId="0" applyFont="1" applyAlignment="1" applyProtection="1">
      <alignment horizontal="left" vertical="center"/>
      <protection hidden="1"/>
    </xf>
    <xf numFmtId="0" fontId="4" fillId="0" borderId="0" xfId="0" applyFont="1" applyAlignment="1" applyProtection="1">
      <alignment vertical="top" wrapText="1"/>
      <protection hidden="1"/>
    </xf>
    <xf numFmtId="0" fontId="4" fillId="0" borderId="0" xfId="0" applyNumberFormat="1" applyFont="1" applyFill="1" applyBorder="1" applyAlignment="1">
      <alignment horizontal="left" vertical="center"/>
    </xf>
    <xf numFmtId="0" fontId="129" fillId="0" borderId="0" xfId="0" applyFont="1" applyAlignment="1">
      <alignment/>
    </xf>
    <xf numFmtId="0" fontId="129" fillId="0" borderId="0" xfId="0" applyFont="1" applyAlignment="1">
      <alignment horizontal="left" vertical="center"/>
    </xf>
    <xf numFmtId="0" fontId="125" fillId="0" borderId="0" xfId="0" applyFont="1" applyAlignment="1">
      <alignment/>
    </xf>
    <xf numFmtId="0" fontId="4" fillId="0" borderId="0" xfId="0" applyFont="1" applyBorder="1" applyAlignment="1">
      <alignment/>
    </xf>
    <xf numFmtId="14" fontId="0" fillId="0" borderId="0" xfId="0" applyNumberFormat="1" applyAlignment="1">
      <alignment/>
    </xf>
    <xf numFmtId="0" fontId="0" fillId="0" borderId="0" xfId="0" applyAlignment="1">
      <alignment horizontal="center"/>
    </xf>
    <xf numFmtId="178" fontId="0" fillId="0" borderId="0" xfId="0" applyNumberFormat="1" applyAlignment="1">
      <alignment/>
    </xf>
    <xf numFmtId="0" fontId="128" fillId="0" borderId="0" xfId="0" applyFont="1" applyAlignment="1" applyProtection="1">
      <alignment wrapText="1"/>
      <protection hidden="1"/>
    </xf>
    <xf numFmtId="0" fontId="0" fillId="0" borderId="11" xfId="0" applyBorder="1" applyAlignment="1">
      <alignment/>
    </xf>
    <xf numFmtId="0" fontId="0" fillId="0" borderId="32"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14"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14" fontId="0" fillId="0" borderId="24" xfId="0" applyNumberFormat="1" applyBorder="1" applyAlignment="1">
      <alignment/>
    </xf>
    <xf numFmtId="0" fontId="0" fillId="0" borderId="25" xfId="0" applyBorder="1" applyAlignment="1">
      <alignment/>
    </xf>
    <xf numFmtId="0" fontId="123" fillId="0" borderId="0" xfId="0" applyFont="1" applyAlignment="1" applyProtection="1">
      <alignment wrapText="1"/>
      <protection hidden="1"/>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121" fillId="0" borderId="21" xfId="0" applyFont="1" applyBorder="1" applyAlignment="1" applyProtection="1">
      <alignment horizontal="center" vertical="center" textRotation="90"/>
      <protection hidden="1"/>
    </xf>
    <xf numFmtId="0" fontId="121" fillId="0" borderId="21" xfId="0" applyFont="1" applyBorder="1" applyAlignment="1" applyProtection="1">
      <alignment horizontal="center" vertical="center"/>
      <protection hidden="1"/>
    </xf>
    <xf numFmtId="14" fontId="130" fillId="0" borderId="11" xfId="0" applyNumberFormat="1" applyFont="1" applyBorder="1" applyAlignment="1">
      <alignment/>
    </xf>
    <xf numFmtId="0" fontId="121" fillId="0" borderId="32" xfId="0" applyFont="1" applyBorder="1" applyAlignment="1">
      <alignment/>
    </xf>
    <xf numFmtId="178" fontId="121" fillId="0" borderId="24" xfId="0" applyNumberFormat="1" applyFont="1" applyBorder="1" applyAlignment="1">
      <alignment/>
    </xf>
    <xf numFmtId="0" fontId="121" fillId="0" borderId="24" xfId="0" applyFont="1" applyBorder="1" applyAlignment="1">
      <alignment/>
    </xf>
    <xf numFmtId="0" fontId="2" fillId="0" borderId="21" xfId="0" applyFont="1"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178" fontId="0" fillId="0" borderId="66" xfId="0" applyNumberFormat="1"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131" fillId="9" borderId="71" xfId="0" applyFont="1" applyFill="1" applyBorder="1" applyAlignment="1" applyProtection="1">
      <alignment horizontal="left" vertical="center"/>
      <protection hidden="1"/>
    </xf>
    <xf numFmtId="0" fontId="131" fillId="9" borderId="72" xfId="0" applyFont="1" applyFill="1" applyBorder="1" applyAlignment="1" applyProtection="1">
      <alignment horizontal="left" vertical="center"/>
      <protection hidden="1"/>
    </xf>
    <xf numFmtId="0" fontId="2" fillId="0" borderId="11" xfId="58" applyFont="1" applyBorder="1" applyProtection="1">
      <alignment/>
      <protection hidden="1"/>
    </xf>
    <xf numFmtId="0" fontId="41" fillId="0" borderId="32" xfId="58" applyFont="1" applyBorder="1" applyAlignment="1" applyProtection="1">
      <alignment horizontal="center"/>
      <protection hidden="1"/>
    </xf>
    <xf numFmtId="0" fontId="41" fillId="0" borderId="32" xfId="58" applyFont="1" applyBorder="1" applyProtection="1">
      <alignment/>
      <protection hidden="1"/>
    </xf>
    <xf numFmtId="0" fontId="2" fillId="0" borderId="32" xfId="58" applyFont="1" applyBorder="1" applyProtection="1">
      <alignment/>
      <protection hidden="1"/>
    </xf>
    <xf numFmtId="0" fontId="2" fillId="0" borderId="10" xfId="58" applyFont="1" applyBorder="1" applyProtection="1">
      <alignment/>
      <protection hidden="1"/>
    </xf>
    <xf numFmtId="0" fontId="2" fillId="0" borderId="12" xfId="58" applyFont="1" applyBorder="1" applyProtection="1">
      <alignment/>
      <protection hidden="1"/>
    </xf>
    <xf numFmtId="0" fontId="8" fillId="0" borderId="0" xfId="58" applyFont="1" applyBorder="1" applyAlignment="1" applyProtection="1">
      <alignment horizontal="center" vertical="top" wrapText="1"/>
      <protection hidden="1"/>
    </xf>
    <xf numFmtId="0" fontId="2" fillId="0" borderId="13" xfId="58" applyFont="1" applyBorder="1" applyProtection="1">
      <alignment/>
      <protection hidden="1"/>
    </xf>
    <xf numFmtId="0" fontId="41" fillId="0" borderId="0" xfId="58" applyFont="1" applyBorder="1" applyAlignment="1" applyProtection="1">
      <alignment horizontal="center"/>
      <protection hidden="1"/>
    </xf>
    <xf numFmtId="0" fontId="41" fillId="0" borderId="0" xfId="58" applyFont="1" applyBorder="1" applyProtection="1">
      <alignment/>
      <protection hidden="1"/>
    </xf>
    <xf numFmtId="0" fontId="2" fillId="0" borderId="12" xfId="58" applyFont="1" applyBorder="1" applyAlignment="1" applyProtection="1">
      <alignment horizontal="center" vertical="center"/>
      <protection hidden="1"/>
    </xf>
    <xf numFmtId="0" fontId="43" fillId="0" borderId="21" xfId="58" applyFont="1" applyBorder="1" applyAlignment="1" applyProtection="1">
      <alignment horizontal="center" vertical="center" wrapText="1"/>
      <protection hidden="1"/>
    </xf>
    <xf numFmtId="0" fontId="21" fillId="0" borderId="21" xfId="58" applyFont="1" applyBorder="1" applyAlignment="1" applyProtection="1">
      <alignment horizontal="center" vertical="center" wrapText="1"/>
      <protection hidden="1"/>
    </xf>
    <xf numFmtId="0" fontId="2" fillId="0" borderId="13" xfId="58" applyFont="1" applyBorder="1" applyAlignment="1" applyProtection="1">
      <alignment horizontal="center" vertical="center"/>
      <protection hidden="1"/>
    </xf>
    <xf numFmtId="0" fontId="44" fillId="0" borderId="21" xfId="58" applyFont="1" applyBorder="1" applyAlignment="1" applyProtection="1">
      <alignment horizontal="center" vertical="center"/>
      <protection hidden="1"/>
    </xf>
    <xf numFmtId="0" fontId="41" fillId="0" borderId="0" xfId="58" applyFont="1" applyBorder="1" applyAlignment="1" applyProtection="1">
      <alignment horizontal="left" vertical="center"/>
      <protection hidden="1"/>
    </xf>
    <xf numFmtId="0" fontId="41" fillId="0" borderId="0" xfId="58" applyFont="1" applyBorder="1" applyAlignment="1" applyProtection="1">
      <alignment horizontal="center" vertical="top" wrapText="1"/>
      <protection hidden="1"/>
    </xf>
    <xf numFmtId="0" fontId="41" fillId="0" borderId="0" xfId="58" applyFont="1" applyBorder="1" applyAlignment="1" applyProtection="1">
      <alignment horizontal="justify" vertical="top" wrapText="1"/>
      <protection hidden="1"/>
    </xf>
    <xf numFmtId="0" fontId="2" fillId="0" borderId="0" xfId="58" applyFont="1" applyBorder="1" applyAlignment="1" applyProtection="1">
      <alignment vertical="top"/>
      <protection hidden="1"/>
    </xf>
    <xf numFmtId="0" fontId="2" fillId="0" borderId="0" xfId="58" applyFont="1" applyBorder="1" applyAlignment="1" applyProtection="1">
      <alignment vertical="top" wrapText="1"/>
      <protection hidden="1"/>
    </xf>
    <xf numFmtId="0" fontId="2" fillId="0" borderId="0" xfId="58" applyFont="1" applyBorder="1" applyAlignment="1" applyProtection="1">
      <alignment horizontal="center" vertical="top" wrapText="1"/>
      <protection hidden="1"/>
    </xf>
    <xf numFmtId="0" fontId="2" fillId="0" borderId="23" xfId="58" applyFont="1" applyBorder="1" applyProtection="1">
      <alignment/>
      <protection hidden="1"/>
    </xf>
    <xf numFmtId="0" fontId="41" fillId="0" borderId="24" xfId="58" applyFont="1" applyBorder="1" applyAlignment="1" applyProtection="1">
      <alignment horizontal="center"/>
      <protection hidden="1"/>
    </xf>
    <xf numFmtId="0" fontId="2" fillId="0" borderId="24" xfId="58" applyFont="1" applyBorder="1" applyAlignment="1" applyProtection="1">
      <alignment horizontal="center" vertical="top" wrapText="1"/>
      <protection hidden="1"/>
    </xf>
    <xf numFmtId="0" fontId="2" fillId="0" borderId="24" xfId="58" applyFont="1" applyBorder="1" applyProtection="1">
      <alignment/>
      <protection hidden="1"/>
    </xf>
    <xf numFmtId="0" fontId="2" fillId="0" borderId="25" xfId="58" applyFont="1" applyBorder="1" applyProtection="1">
      <alignment/>
      <protection hidden="1"/>
    </xf>
    <xf numFmtId="0" fontId="2" fillId="0" borderId="0" xfId="58" applyFont="1" applyBorder="1" applyAlignment="1" applyProtection="1">
      <alignment wrapText="1"/>
      <protection hidden="1"/>
    </xf>
    <xf numFmtId="182" fontId="22" fillId="0" borderId="0" xfId="58" applyNumberFormat="1" applyFont="1" applyBorder="1" applyAlignment="1" applyProtection="1">
      <alignment/>
      <protection hidden="1"/>
    </xf>
    <xf numFmtId="185" fontId="46" fillId="0" borderId="0" xfId="58" applyNumberFormat="1" applyFont="1" applyBorder="1" applyAlignment="1" applyProtection="1">
      <alignment/>
      <protection hidden="1"/>
    </xf>
    <xf numFmtId="0" fontId="0" fillId="34" borderId="0" xfId="0" applyFill="1" applyAlignment="1" applyProtection="1">
      <alignment/>
      <protection locked="0"/>
    </xf>
    <xf numFmtId="0" fontId="0" fillId="34" borderId="56" xfId="0" applyFill="1" applyBorder="1" applyAlignment="1" applyProtection="1">
      <alignment/>
      <protection locked="0"/>
    </xf>
    <xf numFmtId="0" fontId="0" fillId="34" borderId="73" xfId="0" applyFill="1" applyBorder="1" applyAlignment="1" applyProtection="1">
      <alignment/>
      <protection locked="0"/>
    </xf>
    <xf numFmtId="0" fontId="0" fillId="34" borderId="74" xfId="0" applyFill="1" applyBorder="1" applyAlignment="1" applyProtection="1">
      <alignment/>
      <protection locked="0"/>
    </xf>
    <xf numFmtId="0" fontId="0" fillId="0" borderId="75" xfId="0" applyBorder="1" applyAlignment="1">
      <alignment/>
    </xf>
    <xf numFmtId="0" fontId="0" fillId="0" borderId="76" xfId="0" applyBorder="1" applyAlignment="1">
      <alignment/>
    </xf>
    <xf numFmtId="0" fontId="0" fillId="0" borderId="73" xfId="0" applyBorder="1" applyAlignment="1">
      <alignment/>
    </xf>
    <xf numFmtId="0" fontId="0" fillId="0" borderId="74" xfId="0" applyBorder="1" applyAlignment="1">
      <alignment/>
    </xf>
    <xf numFmtId="0" fontId="0" fillId="34" borderId="75" xfId="0" applyFill="1" applyBorder="1" applyAlignment="1" applyProtection="1">
      <alignment/>
      <protection locked="0"/>
    </xf>
    <xf numFmtId="0" fontId="0" fillId="34" borderId="76" xfId="0" applyFill="1" applyBorder="1" applyAlignment="1" applyProtection="1">
      <alignment/>
      <protection locked="0"/>
    </xf>
    <xf numFmtId="0" fontId="131" fillId="0" borderId="77" xfId="0" applyFont="1" applyFill="1" applyBorder="1" applyAlignment="1" applyProtection="1">
      <alignment vertical="center"/>
      <protection hidden="1"/>
    </xf>
    <xf numFmtId="0" fontId="131" fillId="0" borderId="78" xfId="0" applyFont="1" applyFill="1" applyBorder="1" applyAlignment="1" applyProtection="1">
      <alignment vertical="center"/>
      <protection hidden="1"/>
    </xf>
    <xf numFmtId="0" fontId="131" fillId="0" borderId="79" xfId="0" applyFont="1" applyFill="1" applyBorder="1" applyAlignment="1" applyProtection="1">
      <alignment vertical="center"/>
      <protection hidden="1"/>
    </xf>
    <xf numFmtId="0" fontId="131" fillId="0" borderId="78" xfId="0" applyFont="1" applyFill="1" applyBorder="1" applyAlignment="1" applyProtection="1">
      <alignment vertical="center"/>
      <protection hidden="1" locked="0"/>
    </xf>
    <xf numFmtId="0" fontId="131" fillId="0" borderId="78" xfId="0" applyFont="1" applyFill="1" applyBorder="1" applyAlignment="1" applyProtection="1">
      <alignment vertical="center" wrapText="1"/>
      <protection hidden="1"/>
    </xf>
    <xf numFmtId="0" fontId="129" fillId="0" borderId="80" xfId="0" applyFont="1" applyFill="1" applyBorder="1" applyAlignment="1" applyProtection="1">
      <alignment horizontal="center" vertical="center"/>
      <protection hidden="1" locked="0"/>
    </xf>
    <xf numFmtId="0" fontId="129" fillId="0" borderId="81" xfId="0" applyFont="1" applyFill="1" applyBorder="1" applyAlignment="1" applyProtection="1">
      <alignment horizontal="left" vertical="center"/>
      <protection hidden="1" locked="0"/>
    </xf>
    <xf numFmtId="0" fontId="129" fillId="0" borderId="71" xfId="0" applyFont="1" applyFill="1" applyBorder="1" applyAlignment="1" applyProtection="1">
      <alignment horizontal="center" vertical="center"/>
      <protection hidden="1" locked="0"/>
    </xf>
    <xf numFmtId="0" fontId="129" fillId="0" borderId="82" xfId="0" applyFont="1" applyFill="1" applyBorder="1" applyAlignment="1" applyProtection="1">
      <alignment horizontal="center" vertical="center"/>
      <protection hidden="1" locked="0"/>
    </xf>
    <xf numFmtId="0" fontId="129" fillId="0" borderId="75" xfId="0" applyFont="1" applyFill="1" applyBorder="1" applyAlignment="1" applyProtection="1">
      <alignment horizontal="center" vertical="center"/>
      <protection hidden="1" locked="0"/>
    </xf>
    <xf numFmtId="0" fontId="129" fillId="0" borderId="81" xfId="0" applyFont="1" applyFill="1" applyBorder="1" applyAlignment="1" applyProtection="1">
      <alignment horizontal="center" vertical="center"/>
      <protection hidden="1" locked="0"/>
    </xf>
    <xf numFmtId="0" fontId="0" fillId="0" borderId="0" xfId="0" applyFill="1" applyAlignment="1">
      <alignment/>
    </xf>
    <xf numFmtId="14" fontId="129" fillId="0" borderId="83" xfId="0" applyNumberFormat="1" applyFont="1" applyFill="1" applyBorder="1" applyAlignment="1" applyProtection="1">
      <alignment vertical="center"/>
      <protection hidden="1" locked="0"/>
    </xf>
    <xf numFmtId="0" fontId="0" fillId="0" borderId="0" xfId="0" applyAlignment="1">
      <alignment horizontal="right"/>
    </xf>
    <xf numFmtId="0" fontId="0" fillId="0" borderId="0" xfId="0" applyFill="1" applyBorder="1" applyAlignment="1">
      <alignment/>
    </xf>
    <xf numFmtId="0" fontId="0" fillId="0" borderId="84" xfId="0" applyBorder="1" applyAlignment="1">
      <alignment horizontal="center"/>
    </xf>
    <xf numFmtId="0" fontId="132" fillId="0" borderId="0" xfId="0" applyFont="1" applyFill="1" applyBorder="1" applyAlignment="1">
      <alignment vertical="center"/>
    </xf>
    <xf numFmtId="0" fontId="132" fillId="0" borderId="85" xfId="0" applyFont="1" applyFill="1" applyBorder="1" applyAlignment="1">
      <alignment vertical="center"/>
    </xf>
    <xf numFmtId="0" fontId="121" fillId="0" borderId="86" xfId="0" applyFont="1" applyBorder="1" applyAlignment="1" applyProtection="1">
      <alignment horizontal="center" vertical="center"/>
      <protection locked="0"/>
    </xf>
    <xf numFmtId="0" fontId="129" fillId="34" borderId="81" xfId="0" applyFont="1" applyFill="1" applyBorder="1" applyAlignment="1" applyProtection="1">
      <alignment horizontal="center" vertical="center"/>
      <protection hidden="1" locked="0"/>
    </xf>
    <xf numFmtId="0" fontId="121" fillId="0" borderId="21" xfId="0" applyFont="1" applyBorder="1" applyAlignment="1" applyProtection="1">
      <alignment horizontal="center" vertical="center"/>
      <protection hidden="1"/>
    </xf>
    <xf numFmtId="0" fontId="131" fillId="13" borderId="87" xfId="0" applyFont="1" applyFill="1" applyBorder="1" applyAlignment="1" applyProtection="1">
      <alignment vertical="center" wrapText="1"/>
      <protection hidden="1"/>
    </xf>
    <xf numFmtId="0" fontId="131" fillId="13" borderId="88" xfId="0" applyFont="1" applyFill="1" applyBorder="1" applyAlignment="1" applyProtection="1">
      <alignment vertical="center" wrapText="1"/>
      <protection hidden="1"/>
    </xf>
    <xf numFmtId="0" fontId="131" fillId="13" borderId="89" xfId="0" applyFont="1" applyFill="1" applyBorder="1" applyAlignment="1" applyProtection="1">
      <alignment vertical="center" wrapText="1"/>
      <protection hidden="1"/>
    </xf>
    <xf numFmtId="0" fontId="131" fillId="9" borderId="90" xfId="0" applyFont="1" applyFill="1" applyBorder="1" applyAlignment="1" applyProtection="1">
      <alignment horizontal="left" vertical="center"/>
      <protection hidden="1"/>
    </xf>
    <xf numFmtId="0" fontId="131" fillId="9" borderId="81" xfId="0" applyFont="1" applyFill="1" applyBorder="1" applyAlignment="1" applyProtection="1">
      <alignment horizontal="left" vertical="center"/>
      <protection hidden="1"/>
    </xf>
    <xf numFmtId="0" fontId="131" fillId="9" borderId="82" xfId="0" applyFont="1" applyFill="1" applyBorder="1" applyAlignment="1" applyProtection="1">
      <alignment horizontal="left" vertical="center"/>
      <protection hidden="1"/>
    </xf>
    <xf numFmtId="0" fontId="132" fillId="0" borderId="0" xfId="0" applyFont="1" applyFill="1" applyBorder="1" applyAlignment="1" applyProtection="1">
      <alignment vertical="center"/>
      <protection hidden="1" locked="0"/>
    </xf>
    <xf numFmtId="14" fontId="129" fillId="0" borderId="91" xfId="0" applyNumberFormat="1" applyFont="1" applyFill="1" applyBorder="1" applyAlignment="1" applyProtection="1">
      <alignment vertical="center"/>
      <protection hidden="1" locked="0"/>
    </xf>
    <xf numFmtId="0" fontId="131" fillId="0" borderId="0" xfId="0" applyFont="1" applyAlignment="1" applyProtection="1">
      <alignment/>
      <protection hidden="1"/>
    </xf>
    <xf numFmtId="0" fontId="123" fillId="0" borderId="0" xfId="0" applyFont="1" applyAlignment="1">
      <alignment vertical="center" wrapText="1"/>
    </xf>
    <xf numFmtId="0" fontId="123" fillId="0" borderId="0" xfId="0" applyFont="1" applyAlignment="1" applyProtection="1">
      <alignment horizontal="left" vertical="center" wrapText="1"/>
      <protection hidden="1"/>
    </xf>
    <xf numFmtId="0" fontId="123" fillId="0" borderId="0" xfId="0" applyFont="1" applyAlignment="1">
      <alignment horizontal="left" vertical="center" wrapText="1"/>
    </xf>
    <xf numFmtId="0" fontId="123" fillId="0" borderId="0" xfId="0" applyFont="1" applyAlignment="1" applyProtection="1">
      <alignment horizontal="left" vertical="center"/>
      <protection hidden="1"/>
    </xf>
    <xf numFmtId="0" fontId="123" fillId="0" borderId="0" xfId="0" applyFont="1" applyAlignment="1" applyProtection="1">
      <alignment horizontal="right" vertical="top"/>
      <protection hidden="1"/>
    </xf>
    <xf numFmtId="0" fontId="129" fillId="0" borderId="0" xfId="0" applyFont="1" applyAlignment="1" applyProtection="1">
      <alignment horizontal="center" vertical="center"/>
      <protection hidden="1"/>
    </xf>
    <xf numFmtId="0" fontId="123" fillId="0" borderId="0" xfId="0" applyFont="1" applyAlignment="1">
      <alignment horizontal="left" vertical="center"/>
    </xf>
    <xf numFmtId="0" fontId="123" fillId="0" borderId="0" xfId="0" applyFont="1" applyAlignment="1" applyProtection="1">
      <alignment vertical="top"/>
      <protection hidden="1"/>
    </xf>
    <xf numFmtId="0" fontId="0" fillId="0" borderId="0" xfId="0" applyBorder="1" applyAlignment="1" applyProtection="1">
      <alignment/>
      <protection hidden="1"/>
    </xf>
    <xf numFmtId="0" fontId="131" fillId="0" borderId="0" xfId="0" applyFont="1" applyAlignment="1" applyProtection="1">
      <alignment horizontal="left" vertical="top"/>
      <protection hidden="1"/>
    </xf>
    <xf numFmtId="0" fontId="131" fillId="35" borderId="92" xfId="0" applyFont="1" applyFill="1" applyBorder="1" applyAlignment="1" applyProtection="1">
      <alignment horizontal="left" vertical="center" wrapText="1"/>
      <protection hidden="1" locked="0"/>
    </xf>
    <xf numFmtId="0" fontId="129" fillId="0" borderId="81" xfId="0" applyFont="1" applyFill="1" applyBorder="1" applyAlignment="1" applyProtection="1">
      <alignment horizontal="left" vertical="center"/>
      <protection hidden="1" locked="0"/>
    </xf>
    <xf numFmtId="0" fontId="0" fillId="0" borderId="0" xfId="0" applyBorder="1" applyAlignment="1" applyProtection="1">
      <alignment/>
      <protection hidden="1"/>
    </xf>
    <xf numFmtId="0" fontId="0" fillId="0" borderId="13" xfId="0" applyBorder="1" applyAlignment="1" applyProtection="1">
      <alignment/>
      <protection hidden="1"/>
    </xf>
    <xf numFmtId="0" fontId="129" fillId="0" borderId="93" xfId="0" applyFont="1" applyFill="1" applyBorder="1" applyAlignment="1" applyProtection="1">
      <alignment horizontal="center" vertical="center"/>
      <protection hidden="1" locked="0"/>
    </xf>
    <xf numFmtId="0" fontId="0" fillId="0" borderId="94" xfId="0" applyFill="1" applyBorder="1" applyAlignment="1">
      <alignment/>
    </xf>
    <xf numFmtId="0" fontId="23" fillId="0" borderId="0" xfId="0" applyFont="1" applyBorder="1" applyAlignment="1" applyProtection="1">
      <alignment vertical="center"/>
      <protection hidden="1"/>
    </xf>
    <xf numFmtId="0" fontId="23" fillId="0" borderId="13" xfId="0" applyFont="1" applyBorder="1" applyAlignment="1" applyProtection="1">
      <alignment vertical="center"/>
      <protection hidden="1"/>
    </xf>
    <xf numFmtId="0" fontId="121" fillId="0" borderId="0" xfId="0" applyFont="1" applyAlignment="1" applyProtection="1">
      <alignment/>
      <protection hidden="1"/>
    </xf>
    <xf numFmtId="0" fontId="42" fillId="0" borderId="0" xfId="60" applyFont="1" applyBorder="1" applyProtection="1">
      <alignment/>
      <protection hidden="1"/>
    </xf>
    <xf numFmtId="0" fontId="6" fillId="0" borderId="0" xfId="60" applyFont="1" applyBorder="1" applyProtection="1">
      <alignment/>
      <protection hidden="1"/>
    </xf>
    <xf numFmtId="0" fontId="2" fillId="0" borderId="0" xfId="60" applyFont="1" applyBorder="1" applyProtection="1">
      <alignment/>
      <protection hidden="1"/>
    </xf>
    <xf numFmtId="0" fontId="123" fillId="0" borderId="0" xfId="0" applyFont="1" applyBorder="1" applyAlignment="1">
      <alignment/>
    </xf>
    <xf numFmtId="0" fontId="9" fillId="0" borderId="0" xfId="60" applyFont="1" applyBorder="1" applyProtection="1">
      <alignment/>
      <protection hidden="1"/>
    </xf>
    <xf numFmtId="49" fontId="9" fillId="0" borderId="0" xfId="60" applyNumberFormat="1" applyFont="1" applyBorder="1" applyAlignment="1" applyProtection="1">
      <alignment horizontal="left"/>
      <protection hidden="1"/>
    </xf>
    <xf numFmtId="49" fontId="2" fillId="0" borderId="0" xfId="60" applyNumberFormat="1" applyFont="1" applyBorder="1" applyAlignment="1" applyProtection="1">
      <alignment horizontal="left"/>
      <protection hidden="1"/>
    </xf>
    <xf numFmtId="0" fontId="129" fillId="0" borderId="21" xfId="0" applyFont="1" applyBorder="1" applyAlignment="1">
      <alignment horizontal="center" vertical="center"/>
    </xf>
    <xf numFmtId="186" fontId="133" fillId="0" borderId="21" xfId="0" applyNumberFormat="1" applyFont="1" applyBorder="1" applyAlignment="1">
      <alignment horizontal="center" vertical="center"/>
    </xf>
    <xf numFmtId="0" fontId="129" fillId="0" borderId="0" xfId="0" applyFont="1" applyBorder="1" applyAlignment="1">
      <alignment/>
    </xf>
    <xf numFmtId="0" fontId="4" fillId="0" borderId="0" xfId="60" applyFont="1" applyBorder="1" applyProtection="1">
      <alignment/>
      <protection hidden="1"/>
    </xf>
    <xf numFmtId="0" fontId="6" fillId="0" borderId="0" xfId="60" applyFont="1" applyBorder="1" applyAlignment="1" applyProtection="1">
      <alignment horizontal="center" vertical="center"/>
      <protection hidden="1"/>
    </xf>
    <xf numFmtId="0" fontId="6" fillId="0" borderId="0" xfId="60" applyNumberFormat="1" applyFont="1" applyBorder="1" applyProtection="1">
      <alignment/>
      <protection locked="0"/>
    </xf>
    <xf numFmtId="186" fontId="6" fillId="0" borderId="0" xfId="60" applyNumberFormat="1" applyFont="1" applyBorder="1" applyAlignment="1" applyProtection="1">
      <alignment horizontal="center" vertical="center"/>
      <protection hidden="1"/>
    </xf>
    <xf numFmtId="0" fontId="15" fillId="0" borderId="0" xfId="60" applyFont="1" applyBorder="1" applyAlignment="1" applyProtection="1">
      <alignment horizontal="center" vertical="center"/>
      <protection hidden="1"/>
    </xf>
    <xf numFmtId="0" fontId="133" fillId="0" borderId="21" xfId="0" applyFont="1" applyBorder="1" applyAlignment="1">
      <alignment horizontal="center" vertical="center" wrapText="1"/>
    </xf>
    <xf numFmtId="0" fontId="0" fillId="0" borderId="0" xfId="0" applyAlignment="1" applyProtection="1">
      <alignment/>
      <protection locked="0"/>
    </xf>
    <xf numFmtId="0" fontId="4" fillId="0" borderId="0" xfId="60" applyFont="1" applyBorder="1" applyProtection="1">
      <alignment/>
      <protection locked="0"/>
    </xf>
    <xf numFmtId="186" fontId="6" fillId="0" borderId="0" xfId="60" applyNumberFormat="1" applyFont="1" applyBorder="1" applyAlignment="1" applyProtection="1">
      <alignment horizontal="left" vertical="center"/>
      <protection hidden="1"/>
    </xf>
    <xf numFmtId="0" fontId="0" fillId="0" borderId="21" xfId="0" applyBorder="1" applyAlignment="1">
      <alignment/>
    </xf>
    <xf numFmtId="0" fontId="121" fillId="0" borderId="16" xfId="0" applyFont="1" applyBorder="1" applyAlignment="1" applyProtection="1">
      <alignment/>
      <protection hidden="1"/>
    </xf>
    <xf numFmtId="0" fontId="121" fillId="0" borderId="21" xfId="0" applyFont="1" applyBorder="1" applyAlignment="1" applyProtection="1">
      <alignment horizontal="center" vertical="center"/>
      <protection hidden="1" locked="0"/>
    </xf>
    <xf numFmtId="0" fontId="0" fillId="0" borderId="0" xfId="0" applyAlignment="1" applyProtection="1">
      <alignment/>
      <protection hidden="1" locked="0"/>
    </xf>
    <xf numFmtId="0" fontId="121" fillId="0" borderId="21" xfId="0" applyFont="1" applyBorder="1" applyAlignment="1" applyProtection="1">
      <alignment horizontal="center" vertical="center" wrapText="1"/>
      <protection hidden="1"/>
    </xf>
    <xf numFmtId="0" fontId="129" fillId="0" borderId="0" xfId="0" applyFont="1" applyAlignment="1" applyProtection="1">
      <alignment horizontal="center"/>
      <protection hidden="1"/>
    </xf>
    <xf numFmtId="0" fontId="134" fillId="0" borderId="21" xfId="0" applyFont="1" applyBorder="1" applyAlignment="1" applyProtection="1">
      <alignment horizontal="center" vertical="center" textRotation="90"/>
      <protection hidden="1"/>
    </xf>
    <xf numFmtId="0" fontId="124" fillId="0" borderId="21" xfId="0" applyFont="1" applyBorder="1" applyAlignment="1" applyProtection="1">
      <alignment horizontal="center" vertical="center" textRotation="90"/>
      <protection hidden="1"/>
    </xf>
    <xf numFmtId="0" fontId="129" fillId="0" borderId="21" xfId="0" applyFont="1" applyBorder="1" applyAlignment="1" applyProtection="1">
      <alignment horizontal="center" vertical="center" textRotation="90"/>
      <protection hidden="1"/>
    </xf>
    <xf numFmtId="0" fontId="0" fillId="0" borderId="0" xfId="0" applyBorder="1" applyAlignment="1" applyProtection="1">
      <alignment/>
      <protection hidden="1"/>
    </xf>
    <xf numFmtId="0" fontId="129" fillId="0" borderId="53" xfId="0" applyFont="1" applyBorder="1" applyAlignment="1" applyProtection="1">
      <alignment horizontal="center" vertical="center" textRotation="90"/>
      <protection hidden="1"/>
    </xf>
    <xf numFmtId="14" fontId="123" fillId="0" borderId="0" xfId="0" applyNumberFormat="1" applyFont="1" applyAlignment="1" applyProtection="1">
      <alignment horizontal="left"/>
      <protection hidden="1" locked="0"/>
    </xf>
    <xf numFmtId="0" fontId="123" fillId="0" borderId="0" xfId="0" applyFont="1" applyAlignment="1" applyProtection="1">
      <alignment/>
      <protection locked="0"/>
    </xf>
    <xf numFmtId="0" fontId="131" fillId="9" borderId="83" xfId="0" applyFont="1" applyFill="1" applyBorder="1" applyAlignment="1" applyProtection="1">
      <alignment horizontal="center" vertical="center"/>
      <protection hidden="1"/>
    </xf>
    <xf numFmtId="0" fontId="131" fillId="9" borderId="95" xfId="0" applyFont="1" applyFill="1" applyBorder="1" applyAlignment="1" applyProtection="1">
      <alignment horizontal="center" vertical="center"/>
      <protection hidden="1"/>
    </xf>
    <xf numFmtId="0" fontId="135" fillId="5" borderId="96" xfId="0" applyFont="1" applyFill="1" applyBorder="1" applyAlignment="1" applyProtection="1">
      <alignment horizontal="center" vertical="center"/>
      <protection hidden="1"/>
    </xf>
    <xf numFmtId="0" fontId="135" fillId="5" borderId="97" xfId="0" applyFont="1" applyFill="1" applyBorder="1" applyAlignment="1" applyProtection="1">
      <alignment horizontal="center" vertical="center"/>
      <protection hidden="1"/>
    </xf>
    <xf numFmtId="0" fontId="135" fillId="5" borderId="98" xfId="0" applyFont="1" applyFill="1" applyBorder="1" applyAlignment="1" applyProtection="1">
      <alignment horizontal="center" vertical="center"/>
      <protection hidden="1"/>
    </xf>
    <xf numFmtId="0" fontId="129" fillId="0" borderId="99" xfId="0" applyFont="1" applyFill="1" applyBorder="1" applyAlignment="1" applyProtection="1">
      <alignment horizontal="center" vertical="center"/>
      <protection hidden="1" locked="0"/>
    </xf>
    <xf numFmtId="0" fontId="129" fillId="0" borderId="100" xfId="0" applyFont="1" applyFill="1" applyBorder="1" applyAlignment="1" applyProtection="1">
      <alignment horizontal="center" vertical="center"/>
      <protection hidden="1" locked="0"/>
    </xf>
    <xf numFmtId="0" fontId="131" fillId="9" borderId="101" xfId="0" applyFont="1" applyFill="1" applyBorder="1" applyAlignment="1" applyProtection="1">
      <alignment horizontal="center" vertical="center"/>
      <protection hidden="1"/>
    </xf>
    <xf numFmtId="0" fontId="131" fillId="9" borderId="102" xfId="0" applyFont="1" applyFill="1" applyBorder="1" applyAlignment="1" applyProtection="1">
      <alignment horizontal="center" vertical="center"/>
      <protection hidden="1"/>
    </xf>
    <xf numFmtId="0" fontId="133" fillId="9" borderId="83" xfId="0" applyFont="1" applyFill="1" applyBorder="1" applyAlignment="1" applyProtection="1">
      <alignment horizontal="center" vertical="center" wrapText="1"/>
      <protection hidden="1"/>
    </xf>
    <xf numFmtId="0" fontId="133" fillId="9" borderId="95" xfId="0" applyFont="1" applyFill="1" applyBorder="1" applyAlignment="1" applyProtection="1">
      <alignment horizontal="center" vertical="center" wrapText="1"/>
      <protection hidden="1"/>
    </xf>
    <xf numFmtId="0" fontId="133" fillId="9" borderId="93" xfId="0" applyFont="1" applyFill="1" applyBorder="1" applyAlignment="1" applyProtection="1">
      <alignment horizontal="center" vertical="center" wrapText="1"/>
      <protection hidden="1"/>
    </xf>
    <xf numFmtId="0" fontId="133" fillId="9" borderId="103" xfId="0" applyFont="1" applyFill="1" applyBorder="1" applyAlignment="1" applyProtection="1">
      <alignment horizontal="center" vertical="center" wrapText="1"/>
      <protection hidden="1"/>
    </xf>
    <xf numFmtId="0" fontId="136" fillId="9" borderId="101" xfId="0" applyFont="1" applyFill="1" applyBorder="1" applyAlignment="1" applyProtection="1">
      <alignment horizontal="center" vertical="top" wrapText="1"/>
      <protection hidden="1"/>
    </xf>
    <xf numFmtId="0" fontId="136" fillId="9" borderId="104" xfId="0" applyFont="1" applyFill="1" applyBorder="1" applyAlignment="1" applyProtection="1">
      <alignment horizontal="center" vertical="top" wrapText="1"/>
      <protection hidden="1"/>
    </xf>
    <xf numFmtId="0" fontId="131" fillId="9" borderId="90" xfId="0" applyFont="1" applyFill="1" applyBorder="1" applyAlignment="1" applyProtection="1">
      <alignment horizontal="left" vertical="center"/>
      <protection hidden="1"/>
    </xf>
    <xf numFmtId="0" fontId="133" fillId="0" borderId="81" xfId="0" applyFont="1" applyFill="1" applyBorder="1" applyAlignment="1" applyProtection="1">
      <alignment horizontal="left" vertical="center"/>
      <protection hidden="1" locked="0"/>
    </xf>
    <xf numFmtId="0" fontId="133" fillId="0" borderId="105" xfId="0" applyFont="1" applyFill="1" applyBorder="1" applyAlignment="1" applyProtection="1">
      <alignment horizontal="left" vertical="center"/>
      <protection hidden="1" locked="0"/>
    </xf>
    <xf numFmtId="0" fontId="133" fillId="0" borderId="82" xfId="0" applyFont="1" applyFill="1" applyBorder="1" applyAlignment="1" applyProtection="1">
      <alignment horizontal="left" vertical="center"/>
      <protection hidden="1" locked="0"/>
    </xf>
    <xf numFmtId="0" fontId="129" fillId="0" borderId="83" xfId="0" applyFont="1" applyFill="1" applyBorder="1" applyAlignment="1" applyProtection="1">
      <alignment horizontal="center" vertical="center"/>
      <protection hidden="1" locked="0"/>
    </xf>
    <xf numFmtId="0" fontId="129" fillId="0" borderId="79" xfId="0" applyFont="1" applyFill="1" applyBorder="1" applyAlignment="1" applyProtection="1">
      <alignment horizontal="center" vertical="center"/>
      <protection hidden="1" locked="0"/>
    </xf>
    <xf numFmtId="0" fontId="124" fillId="36" borderId="106" xfId="0" applyFont="1" applyFill="1" applyBorder="1" applyAlignment="1" applyProtection="1">
      <alignment horizontal="center" vertical="center" wrapText="1"/>
      <protection hidden="1"/>
    </xf>
    <xf numFmtId="0" fontId="124" fillId="36" borderId="107" xfId="0" applyFont="1" applyFill="1" applyBorder="1" applyAlignment="1" applyProtection="1">
      <alignment horizontal="center" vertical="center" wrapText="1"/>
      <protection hidden="1"/>
    </xf>
    <xf numFmtId="0" fontId="131" fillId="35" borderId="108" xfId="0" applyFont="1" applyFill="1" applyBorder="1" applyAlignment="1" applyProtection="1">
      <alignment horizontal="center" vertical="center" wrapText="1"/>
      <protection hidden="1"/>
    </xf>
    <xf numFmtId="0" fontId="131" fillId="35" borderId="109" xfId="0" applyFont="1" applyFill="1" applyBorder="1" applyAlignment="1" applyProtection="1">
      <alignment horizontal="center" vertical="center" wrapText="1"/>
      <protection hidden="1"/>
    </xf>
    <xf numFmtId="0" fontId="131" fillId="35" borderId="87" xfId="0" applyFont="1" applyFill="1" applyBorder="1" applyAlignment="1" applyProtection="1">
      <alignment horizontal="center" vertical="center" wrapText="1"/>
      <protection hidden="1"/>
    </xf>
    <xf numFmtId="0" fontId="131" fillId="35" borderId="85" xfId="0" applyFont="1" applyFill="1" applyBorder="1" applyAlignment="1" applyProtection="1">
      <alignment horizontal="center" vertical="center" wrapText="1"/>
      <protection hidden="1"/>
    </xf>
    <xf numFmtId="0" fontId="131" fillId="35" borderId="0" xfId="0" applyFont="1" applyFill="1" applyBorder="1" applyAlignment="1" applyProtection="1">
      <alignment horizontal="center" vertical="center" wrapText="1"/>
      <protection hidden="1"/>
    </xf>
    <xf numFmtId="0" fontId="131" fillId="35" borderId="88" xfId="0" applyFont="1" applyFill="1" applyBorder="1" applyAlignment="1" applyProtection="1">
      <alignment horizontal="center" vertical="center" wrapText="1"/>
      <protection hidden="1"/>
    </xf>
    <xf numFmtId="0" fontId="131" fillId="35" borderId="110" xfId="0" applyFont="1" applyFill="1" applyBorder="1" applyAlignment="1" applyProtection="1">
      <alignment horizontal="center" vertical="center" wrapText="1"/>
      <protection hidden="1"/>
    </xf>
    <xf numFmtId="0" fontId="131" fillId="35" borderId="111" xfId="0" applyFont="1" applyFill="1" applyBorder="1" applyAlignment="1" applyProtection="1">
      <alignment horizontal="center" vertical="center" wrapText="1"/>
      <protection hidden="1"/>
    </xf>
    <xf numFmtId="0" fontId="131" fillId="35" borderId="89" xfId="0" applyFont="1" applyFill="1" applyBorder="1" applyAlignment="1" applyProtection="1">
      <alignment horizontal="center" vertical="center" wrapText="1"/>
      <protection hidden="1"/>
    </xf>
    <xf numFmtId="0" fontId="137" fillId="9" borderId="81" xfId="0" applyFont="1" applyFill="1" applyBorder="1" applyAlignment="1">
      <alignment horizontal="center" vertical="center"/>
    </xf>
    <xf numFmtId="0" fontId="137" fillId="9" borderId="82" xfId="0" applyFont="1" applyFill="1" applyBorder="1" applyAlignment="1">
      <alignment horizontal="center" vertical="center"/>
    </xf>
    <xf numFmtId="0" fontId="131" fillId="9" borderId="81" xfId="0" applyFont="1" applyFill="1" applyBorder="1" applyAlignment="1" applyProtection="1">
      <alignment horizontal="left" vertical="center"/>
      <protection hidden="1"/>
    </xf>
    <xf numFmtId="0" fontId="131" fillId="9" borderId="82" xfId="0" applyFont="1" applyFill="1" applyBorder="1" applyAlignment="1" applyProtection="1">
      <alignment horizontal="left" vertical="center"/>
      <protection hidden="1"/>
    </xf>
    <xf numFmtId="0" fontId="129" fillId="0" borderId="81" xfId="0" applyFont="1" applyFill="1" applyBorder="1" applyAlignment="1" applyProtection="1">
      <alignment horizontal="left" vertical="center"/>
      <protection hidden="1" locked="0"/>
    </xf>
    <xf numFmtId="0" fontId="129" fillId="0" borderId="105" xfId="0" applyFont="1" applyFill="1" applyBorder="1" applyAlignment="1" applyProtection="1">
      <alignment horizontal="left" vertical="center"/>
      <protection hidden="1" locked="0"/>
    </xf>
    <xf numFmtId="0" fontId="129" fillId="0" borderId="82" xfId="0" applyFont="1" applyFill="1" applyBorder="1" applyAlignment="1" applyProtection="1">
      <alignment horizontal="left" vertical="center"/>
      <protection hidden="1" locked="0"/>
    </xf>
    <xf numFmtId="0" fontId="129" fillId="0" borderId="81" xfId="0" applyFont="1" applyFill="1" applyBorder="1" applyAlignment="1" applyProtection="1">
      <alignment horizontal="center" vertical="center"/>
      <protection hidden="1" locked="0"/>
    </xf>
    <xf numFmtId="0" fontId="129" fillId="0" borderId="105" xfId="0" applyFont="1" applyFill="1" applyBorder="1" applyAlignment="1" applyProtection="1">
      <alignment horizontal="center" vertical="center"/>
      <protection hidden="1" locked="0"/>
    </xf>
    <xf numFmtId="0" fontId="129" fillId="0" borderId="82" xfId="0" applyFont="1" applyFill="1" applyBorder="1" applyAlignment="1" applyProtection="1">
      <alignment horizontal="center" vertical="center"/>
      <protection hidden="1" locked="0"/>
    </xf>
    <xf numFmtId="0" fontId="131" fillId="9" borderId="75" xfId="0" applyFont="1" applyFill="1" applyBorder="1" applyAlignment="1" applyProtection="1">
      <alignment horizontal="left" vertical="center"/>
      <protection hidden="1"/>
    </xf>
    <xf numFmtId="0" fontId="131" fillId="9" borderId="76" xfId="0" applyFont="1" applyFill="1" applyBorder="1" applyAlignment="1" applyProtection="1">
      <alignment horizontal="left" vertical="center"/>
      <protection hidden="1"/>
    </xf>
    <xf numFmtId="178" fontId="129" fillId="0" borderId="75" xfId="0" applyNumberFormat="1" applyFont="1" applyFill="1" applyBorder="1" applyAlignment="1" applyProtection="1">
      <alignment horizontal="center" vertical="center"/>
      <protection hidden="1" locked="0"/>
    </xf>
    <xf numFmtId="178" fontId="129" fillId="0" borderId="76" xfId="0" applyNumberFormat="1" applyFont="1" applyFill="1" applyBorder="1" applyAlignment="1" applyProtection="1">
      <alignment horizontal="center" vertical="center"/>
      <protection hidden="1" locked="0"/>
    </xf>
    <xf numFmtId="0" fontId="133" fillId="9" borderId="81" xfId="0" applyFont="1" applyFill="1" applyBorder="1" applyAlignment="1" applyProtection="1">
      <alignment horizontal="left" vertical="center"/>
      <protection hidden="1"/>
    </xf>
    <xf numFmtId="0" fontId="133" fillId="9" borderId="82" xfId="0" applyFont="1" applyFill="1" applyBorder="1" applyAlignment="1" applyProtection="1">
      <alignment horizontal="left" vertical="center"/>
      <protection hidden="1"/>
    </xf>
    <xf numFmtId="0" fontId="133" fillId="9" borderId="112" xfId="0" applyFont="1" applyFill="1" applyBorder="1" applyAlignment="1" applyProtection="1">
      <alignment horizontal="left" vertical="center"/>
      <protection hidden="1"/>
    </xf>
    <xf numFmtId="0" fontId="133" fillId="9" borderId="76" xfId="0" applyFont="1" applyFill="1" applyBorder="1" applyAlignment="1" applyProtection="1">
      <alignment horizontal="left" vertical="center"/>
      <protection hidden="1"/>
    </xf>
    <xf numFmtId="0" fontId="138" fillId="11" borderId="91" xfId="0" applyFont="1" applyFill="1" applyBorder="1" applyAlignment="1" applyProtection="1">
      <alignment horizontal="center"/>
      <protection hidden="1"/>
    </xf>
    <xf numFmtId="0" fontId="138" fillId="11" borderId="78" xfId="0" applyFont="1" applyFill="1" applyBorder="1" applyAlignment="1" applyProtection="1">
      <alignment horizontal="center"/>
      <protection hidden="1"/>
    </xf>
    <xf numFmtId="0" fontId="139" fillId="37" borderId="113" xfId="0" applyFont="1" applyFill="1" applyBorder="1" applyAlignment="1" applyProtection="1">
      <alignment horizontal="center" vertical="center"/>
      <protection hidden="1"/>
    </xf>
    <xf numFmtId="0" fontId="139" fillId="37" borderId="114" xfId="0" applyFont="1" applyFill="1" applyBorder="1" applyAlignment="1" applyProtection="1">
      <alignment horizontal="center" vertical="center"/>
      <protection hidden="1"/>
    </xf>
    <xf numFmtId="0" fontId="140" fillId="37" borderId="115" xfId="0" applyFont="1" applyFill="1" applyBorder="1" applyAlignment="1" applyProtection="1">
      <alignment horizontal="left" vertical="center" wrapText="1"/>
      <protection hidden="1"/>
    </xf>
    <xf numFmtId="0" fontId="140" fillId="37" borderId="116" xfId="0" applyFont="1" applyFill="1" applyBorder="1" applyAlignment="1" applyProtection="1">
      <alignment horizontal="left" vertical="center" wrapText="1"/>
      <protection hidden="1"/>
    </xf>
    <xf numFmtId="181" fontId="124" fillId="36" borderId="117" xfId="0" applyNumberFormat="1" applyFont="1" applyFill="1" applyBorder="1" applyAlignment="1" applyProtection="1">
      <alignment horizontal="center" vertical="center" wrapText="1"/>
      <protection hidden="1"/>
    </xf>
    <xf numFmtId="181" fontId="124" fillId="36" borderId="118" xfId="0" applyNumberFormat="1" applyFont="1" applyFill="1" applyBorder="1" applyAlignment="1" applyProtection="1">
      <alignment horizontal="center" vertical="center" wrapText="1"/>
      <protection hidden="1"/>
    </xf>
    <xf numFmtId="0" fontId="133" fillId="25" borderId="119" xfId="0" applyFont="1" applyFill="1" applyBorder="1" applyAlignment="1" applyProtection="1">
      <alignment horizontal="center" vertical="center" wrapText="1"/>
      <protection hidden="1"/>
    </xf>
    <xf numFmtId="0" fontId="133" fillId="25" borderId="120" xfId="0" applyFont="1" applyFill="1" applyBorder="1" applyAlignment="1" applyProtection="1">
      <alignment horizontal="center" vertical="center" wrapText="1"/>
      <protection hidden="1"/>
    </xf>
    <xf numFmtId="0" fontId="0" fillId="0" borderId="0" xfId="0" applyAlignment="1">
      <alignment horizontal="center" wrapText="1"/>
    </xf>
    <xf numFmtId="0" fontId="132" fillId="10" borderId="108" xfId="0" applyFont="1" applyFill="1" applyBorder="1" applyAlignment="1">
      <alignment horizontal="center" vertical="center"/>
    </xf>
    <xf numFmtId="0" fontId="132" fillId="10" borderId="109" xfId="0" applyFont="1" applyFill="1" applyBorder="1" applyAlignment="1">
      <alignment horizontal="center" vertical="center"/>
    </xf>
    <xf numFmtId="0" fontId="132" fillId="10" borderId="87" xfId="0" applyFont="1" applyFill="1" applyBorder="1" applyAlignment="1">
      <alignment horizontal="center" vertical="center"/>
    </xf>
    <xf numFmtId="0" fontId="132" fillId="10" borderId="85" xfId="0" applyFont="1" applyFill="1" applyBorder="1" applyAlignment="1">
      <alignment horizontal="center" vertical="center"/>
    </xf>
    <xf numFmtId="0" fontId="132" fillId="10" borderId="0" xfId="0" applyFont="1" applyFill="1" applyBorder="1" applyAlignment="1">
      <alignment horizontal="center" vertical="center"/>
    </xf>
    <xf numFmtId="0" fontId="132" fillId="10" borderId="88" xfId="0" applyFont="1" applyFill="1" applyBorder="1" applyAlignment="1">
      <alignment horizontal="center" vertical="center"/>
    </xf>
    <xf numFmtId="0" fontId="132" fillId="10" borderId="110" xfId="0" applyFont="1" applyFill="1" applyBorder="1" applyAlignment="1">
      <alignment horizontal="center" vertical="center"/>
    </xf>
    <xf numFmtId="0" fontId="132" fillId="10" borderId="111" xfId="0" applyFont="1" applyFill="1" applyBorder="1" applyAlignment="1">
      <alignment horizontal="center" vertical="center"/>
    </xf>
    <xf numFmtId="0" fontId="132" fillId="10" borderId="89" xfId="0" applyFont="1" applyFill="1" applyBorder="1" applyAlignment="1">
      <alignment horizontal="center" vertical="center"/>
    </xf>
    <xf numFmtId="0" fontId="83" fillId="34" borderId="121" xfId="0" applyFont="1" applyFill="1" applyBorder="1" applyAlignment="1" applyProtection="1">
      <alignment horizontal="center" vertical="center" wrapText="1"/>
      <protection hidden="1"/>
    </xf>
    <xf numFmtId="0" fontId="83" fillId="34" borderId="122" xfId="0" applyFont="1" applyFill="1" applyBorder="1" applyAlignment="1" applyProtection="1">
      <alignment horizontal="center" vertical="center" wrapText="1"/>
      <protection hidden="1"/>
    </xf>
    <xf numFmtId="0" fontId="83" fillId="34" borderId="123" xfId="0" applyFont="1" applyFill="1" applyBorder="1" applyAlignment="1" applyProtection="1">
      <alignment horizontal="center" vertical="center" wrapText="1"/>
      <protection hidden="1"/>
    </xf>
    <xf numFmtId="0" fontId="83" fillId="34" borderId="124" xfId="0" applyFont="1" applyFill="1" applyBorder="1" applyAlignment="1" applyProtection="1">
      <alignment horizontal="center" vertical="center" wrapText="1"/>
      <protection hidden="1"/>
    </xf>
    <xf numFmtId="0" fontId="83" fillId="34" borderId="125" xfId="0" applyFont="1" applyFill="1" applyBorder="1" applyAlignment="1" applyProtection="1">
      <alignment horizontal="center" vertical="center" wrapText="1"/>
      <protection hidden="1"/>
    </xf>
    <xf numFmtId="0" fontId="83" fillId="34" borderId="126" xfId="0" applyFont="1" applyFill="1" applyBorder="1" applyAlignment="1" applyProtection="1">
      <alignment horizontal="center" vertical="center" wrapText="1"/>
      <protection hidden="1"/>
    </xf>
    <xf numFmtId="0" fontId="39" fillId="36" borderId="127" xfId="0" applyFont="1" applyFill="1" applyBorder="1" applyAlignment="1" applyProtection="1">
      <alignment horizontal="center" vertical="center" wrapText="1"/>
      <protection hidden="1"/>
    </xf>
    <xf numFmtId="0" fontId="39" fillId="36" borderId="128" xfId="0" applyFont="1" applyFill="1" applyBorder="1" applyAlignment="1" applyProtection="1">
      <alignment horizontal="center" vertical="center" wrapText="1"/>
      <protection hidden="1"/>
    </xf>
    <xf numFmtId="0" fontId="39" fillId="36" borderId="129" xfId="0" applyFont="1" applyFill="1" applyBorder="1" applyAlignment="1" applyProtection="1">
      <alignment horizontal="center" vertical="center" wrapText="1"/>
      <protection hidden="1"/>
    </xf>
    <xf numFmtId="0" fontId="39" fillId="36" borderId="130" xfId="0" applyFont="1" applyFill="1" applyBorder="1" applyAlignment="1" applyProtection="1">
      <alignment horizontal="center" vertical="center" wrapText="1"/>
      <protection hidden="1"/>
    </xf>
    <xf numFmtId="0" fontId="141" fillId="38" borderId="131" xfId="0" applyFont="1" applyFill="1" applyBorder="1" applyAlignment="1" applyProtection="1">
      <alignment horizontal="center" vertical="center" wrapText="1"/>
      <protection hidden="1"/>
    </xf>
    <xf numFmtId="0" fontId="141" fillId="38" borderId="132" xfId="0" applyFont="1" applyFill="1" applyBorder="1" applyAlignment="1" applyProtection="1">
      <alignment horizontal="center" vertical="center" wrapText="1"/>
      <protection hidden="1"/>
    </xf>
    <xf numFmtId="0" fontId="141" fillId="38" borderId="133" xfId="0" applyFont="1" applyFill="1" applyBorder="1" applyAlignment="1" applyProtection="1">
      <alignment horizontal="center" vertical="center" wrapText="1"/>
      <protection hidden="1"/>
    </xf>
    <xf numFmtId="0" fontId="142" fillId="10" borderId="81" xfId="0" applyFont="1" applyFill="1" applyBorder="1" applyAlignment="1">
      <alignment horizontal="center" vertical="center"/>
    </xf>
    <xf numFmtId="0" fontId="142" fillId="10" borderId="105" xfId="0" applyFont="1" applyFill="1" applyBorder="1" applyAlignment="1">
      <alignment horizontal="center" vertical="center"/>
    </xf>
    <xf numFmtId="0" fontId="142" fillId="10" borderId="82" xfId="0" applyFont="1" applyFill="1" applyBorder="1" applyAlignment="1">
      <alignment horizontal="center" vertical="center"/>
    </xf>
    <xf numFmtId="0" fontId="131" fillId="9" borderId="81" xfId="0" applyFont="1" applyFill="1" applyBorder="1" applyAlignment="1" applyProtection="1">
      <alignment horizontal="center" vertical="center"/>
      <protection hidden="1"/>
    </xf>
    <xf numFmtId="0" fontId="131" fillId="9" borderId="82" xfId="0" applyFont="1" applyFill="1" applyBorder="1" applyAlignment="1" applyProtection="1">
      <alignment horizontal="center" vertical="center"/>
      <protection hidden="1"/>
    </xf>
    <xf numFmtId="186" fontId="129" fillId="0" borderId="81" xfId="0" applyNumberFormat="1" applyFont="1" applyFill="1" applyBorder="1" applyAlignment="1" applyProtection="1">
      <alignment horizontal="center" vertical="center" wrapText="1"/>
      <protection locked="0"/>
    </xf>
    <xf numFmtId="186" fontId="129" fillId="0" borderId="82" xfId="0" applyNumberFormat="1" applyFont="1" applyFill="1" applyBorder="1" applyAlignment="1" applyProtection="1">
      <alignment horizontal="center" vertical="center" wrapText="1"/>
      <protection locked="0"/>
    </xf>
    <xf numFmtId="0" fontId="143" fillId="37" borderId="115" xfId="0" applyFont="1" applyFill="1" applyBorder="1" applyAlignment="1" applyProtection="1">
      <alignment horizontal="left" vertical="center" wrapText="1"/>
      <protection hidden="1"/>
    </xf>
    <xf numFmtId="0" fontId="0" fillId="0" borderId="134" xfId="0" applyBorder="1" applyAlignment="1">
      <alignment horizontal="left"/>
    </xf>
    <xf numFmtId="0" fontId="0" fillId="0" borderId="116" xfId="0" applyBorder="1" applyAlignment="1">
      <alignment horizontal="left"/>
    </xf>
    <xf numFmtId="0" fontId="129" fillId="0" borderId="112" xfId="0" applyFont="1" applyFill="1" applyBorder="1" applyAlignment="1" applyProtection="1">
      <alignment horizontal="center" vertical="center"/>
      <protection hidden="1" locked="0"/>
    </xf>
    <xf numFmtId="0" fontId="129" fillId="0" borderId="135" xfId="0" applyFont="1" applyFill="1" applyBorder="1" applyAlignment="1" applyProtection="1">
      <alignment horizontal="center" vertical="center"/>
      <protection hidden="1" locked="0"/>
    </xf>
    <xf numFmtId="0" fontId="129" fillId="0" borderId="136" xfId="0" applyFont="1" applyFill="1" applyBorder="1" applyAlignment="1" applyProtection="1">
      <alignment horizontal="center" vertical="center"/>
      <protection hidden="1" locked="0"/>
    </xf>
    <xf numFmtId="0" fontId="123" fillId="0" borderId="0" xfId="0" applyFont="1" applyAlignment="1" applyProtection="1">
      <alignment horizontal="center"/>
      <protection hidden="1"/>
    </xf>
    <xf numFmtId="0" fontId="123" fillId="0" borderId="0" xfId="0" applyFont="1" applyAlignment="1" applyProtection="1">
      <alignment horizontal="left" wrapText="1"/>
      <protection hidden="1"/>
    </xf>
    <xf numFmtId="0" fontId="131" fillId="0" borderId="0" xfId="0" applyFont="1" applyAlignment="1" applyProtection="1">
      <alignment horizontal="right"/>
      <protection hidden="1"/>
    </xf>
    <xf numFmtId="0" fontId="123" fillId="0" borderId="0" xfId="0" applyFont="1" applyAlignment="1" applyProtection="1">
      <alignment horizontal="left" vertical="center" wrapText="1"/>
      <protection hidden="1"/>
    </xf>
    <xf numFmtId="0" fontId="144" fillId="0" borderId="0" xfId="0" applyFont="1" applyAlignment="1" applyProtection="1">
      <alignment horizontal="center" vertical="center"/>
      <protection hidden="1"/>
    </xf>
    <xf numFmtId="0" fontId="123" fillId="0" borderId="0" xfId="0" applyFont="1" applyAlignment="1" applyProtection="1">
      <alignment horizontal="left" vertical="top" indent="17"/>
      <protection hidden="1"/>
    </xf>
    <xf numFmtId="0" fontId="145" fillId="0" borderId="0" xfId="0" applyFont="1" applyAlignment="1" applyProtection="1">
      <alignment horizontal="center"/>
      <protection hidden="1"/>
    </xf>
    <xf numFmtId="0" fontId="136" fillId="0" borderId="137" xfId="0" applyFont="1" applyBorder="1" applyAlignment="1" applyProtection="1">
      <alignment horizontal="center" vertical="center" textRotation="90"/>
      <protection hidden="1"/>
    </xf>
    <xf numFmtId="0" fontId="136" fillId="0" borderId="138" xfId="0" applyFont="1" applyBorder="1" applyAlignment="1" applyProtection="1">
      <alignment horizontal="center" vertical="center" textRotation="90"/>
      <protection hidden="1"/>
    </xf>
    <xf numFmtId="0" fontId="129" fillId="0" borderId="21" xfId="0" applyFont="1" applyBorder="1" applyAlignment="1" applyProtection="1">
      <alignment horizontal="center" vertical="center" textRotation="90"/>
      <protection hidden="1"/>
    </xf>
    <xf numFmtId="0" fontId="121" fillId="0" borderId="21" xfId="0" applyFont="1" applyBorder="1" applyAlignment="1" applyProtection="1">
      <alignment horizontal="center" vertical="center" wrapText="1"/>
      <protection hidden="1"/>
    </xf>
    <xf numFmtId="0" fontId="129" fillId="0" borderId="53" xfId="0" applyFont="1" applyBorder="1" applyAlignment="1" applyProtection="1">
      <alignment horizontal="center" vertical="center"/>
      <protection hidden="1"/>
    </xf>
    <xf numFmtId="0" fontId="129" fillId="0" borderId="48" xfId="0" applyFont="1" applyBorder="1" applyAlignment="1" applyProtection="1">
      <alignment horizontal="center" vertical="center"/>
      <protection hidden="1"/>
    </xf>
    <xf numFmtId="0" fontId="129" fillId="0" borderId="139" xfId="0" applyFont="1" applyBorder="1" applyAlignment="1" applyProtection="1">
      <alignment horizontal="center" vertical="center"/>
      <protection hidden="1"/>
    </xf>
    <xf numFmtId="0" fontId="134" fillId="0" borderId="21" xfId="0" applyFont="1" applyBorder="1" applyAlignment="1" applyProtection="1">
      <alignment horizontal="center" vertical="center" textRotation="90"/>
      <protection hidden="1"/>
    </xf>
    <xf numFmtId="0" fontId="124" fillId="0" borderId="21" xfId="0" applyFont="1" applyBorder="1" applyAlignment="1" applyProtection="1">
      <alignment horizontal="center" vertical="center" textRotation="90"/>
      <protection hidden="1"/>
    </xf>
    <xf numFmtId="0" fontId="129" fillId="0" borderId="21" xfId="0" applyFont="1" applyBorder="1" applyAlignment="1" applyProtection="1">
      <alignment horizontal="center" vertical="center"/>
      <protection hidden="1"/>
    </xf>
    <xf numFmtId="0" fontId="4" fillId="0" borderId="0" xfId="0" applyFont="1" applyAlignment="1" applyProtection="1">
      <alignment horizontal="right" vertical="top"/>
      <protection hidden="1"/>
    </xf>
    <xf numFmtId="0" fontId="121" fillId="0" borderId="53" xfId="0" applyFont="1" applyBorder="1" applyAlignment="1" applyProtection="1">
      <alignment horizontal="center" vertical="center"/>
      <protection hidden="1"/>
    </xf>
    <xf numFmtId="0" fontId="121" fillId="0" borderId="139" xfId="0" applyFont="1" applyBorder="1" applyAlignment="1" applyProtection="1">
      <alignment horizontal="center" vertical="center"/>
      <protection hidden="1"/>
    </xf>
    <xf numFmtId="0" fontId="137" fillId="0" borderId="0" xfId="0" applyFont="1" applyAlignment="1" applyProtection="1">
      <alignment horizontal="center" vertical="center"/>
      <protection hidden="1"/>
    </xf>
    <xf numFmtId="0" fontId="137" fillId="0" borderId="20" xfId="0" applyFont="1" applyBorder="1" applyAlignment="1" applyProtection="1">
      <alignment horizontal="center" vertical="center"/>
      <protection hidden="1"/>
    </xf>
    <xf numFmtId="0" fontId="121" fillId="0" borderId="21" xfId="0" applyFont="1" applyBorder="1" applyAlignment="1" applyProtection="1">
      <alignment horizontal="center" vertical="center"/>
      <protection hidden="1"/>
    </xf>
    <xf numFmtId="0" fontId="133" fillId="0" borderId="137" xfId="0" applyFont="1" applyBorder="1" applyAlignment="1" applyProtection="1">
      <alignment horizontal="center" textRotation="90"/>
      <protection hidden="1"/>
    </xf>
    <xf numFmtId="0" fontId="133" fillId="0" borderId="138" xfId="0" applyFont="1" applyBorder="1" applyAlignment="1" applyProtection="1">
      <alignment horizontal="center" textRotation="90"/>
      <protection hidden="1"/>
    </xf>
    <xf numFmtId="0" fontId="9" fillId="0" borderId="0" xfId="0" applyFont="1" applyAlignment="1" applyProtection="1">
      <alignment horizontal="left" vertical="top" wrapText="1"/>
      <protection hidden="1"/>
    </xf>
    <xf numFmtId="0" fontId="129" fillId="0" borderId="0" xfId="0" applyFont="1" applyAlignment="1" applyProtection="1">
      <alignment horizontal="center"/>
      <protection hidden="1"/>
    </xf>
    <xf numFmtId="0" fontId="133" fillId="0" borderId="21" xfId="0" applyFont="1" applyBorder="1" applyAlignment="1" applyProtection="1">
      <alignment horizontal="center" vertical="center" textRotation="90"/>
      <protection hidden="1"/>
    </xf>
    <xf numFmtId="178" fontId="4" fillId="0" borderId="51" xfId="0" applyNumberFormat="1" applyFont="1" applyBorder="1" applyAlignment="1" applyProtection="1">
      <alignment horizontal="center" vertical="center" wrapText="1"/>
      <protection hidden="1"/>
    </xf>
    <xf numFmtId="0" fontId="8" fillId="0" borderId="51"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2" fontId="15" fillId="0" borderId="0" xfId="0" applyNumberFormat="1" applyFont="1" applyBorder="1" applyAlignment="1" applyProtection="1">
      <alignment horizontal="right" vertical="center"/>
      <protection hidden="1"/>
    </xf>
    <xf numFmtId="2" fontId="15" fillId="0" borderId="18" xfId="0" applyNumberFormat="1" applyFont="1" applyBorder="1" applyAlignment="1" applyProtection="1">
      <alignment horizontal="right" vertical="center"/>
      <protection hidden="1"/>
    </xf>
    <xf numFmtId="0" fontId="15" fillId="0" borderId="140" xfId="0" applyFont="1" applyBorder="1" applyAlignment="1" applyProtection="1">
      <alignment horizontal="center" vertical="center"/>
      <protection hidden="1"/>
    </xf>
    <xf numFmtId="0" fontId="15" fillId="0" borderId="141" xfId="0" applyFont="1" applyBorder="1" applyAlignment="1" applyProtection="1">
      <alignment horizontal="center" vertical="center"/>
      <protection hidden="1"/>
    </xf>
    <xf numFmtId="0" fontId="123" fillId="0" borderId="142" xfId="0" applyFont="1" applyBorder="1" applyAlignment="1" applyProtection="1">
      <alignment horizontal="center" vertical="center"/>
      <protection hidden="1"/>
    </xf>
    <xf numFmtId="0" fontId="123" fillId="0" borderId="143" xfId="0" applyFont="1" applyBorder="1" applyAlignment="1" applyProtection="1">
      <alignment horizontal="center" vertical="center"/>
      <protection hidden="1"/>
    </xf>
    <xf numFmtId="0" fontId="123" fillId="0" borderId="144"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139" xfId="0" applyFont="1" applyBorder="1" applyAlignment="1" applyProtection="1">
      <alignment horizontal="center" vertical="center"/>
      <protection hidden="1"/>
    </xf>
    <xf numFmtId="0" fontId="128" fillId="0" borderId="0" xfId="0" applyFont="1" applyBorder="1" applyAlignment="1" applyProtection="1">
      <alignment horizontal="center" vertical="center"/>
      <protection hidden="1"/>
    </xf>
    <xf numFmtId="0" fontId="4" fillId="0" borderId="21" xfId="0" applyNumberFormat="1" applyFont="1" applyBorder="1" applyAlignment="1" applyProtection="1">
      <alignment horizontal="center" vertical="center"/>
      <protection hidden="1"/>
    </xf>
    <xf numFmtId="2" fontId="15" fillId="0" borderId="140" xfId="0" applyNumberFormat="1" applyFont="1" applyBorder="1" applyAlignment="1" applyProtection="1">
      <alignment horizontal="right" vertical="center"/>
      <protection hidden="1"/>
    </xf>
    <xf numFmtId="2" fontId="15" fillId="0" borderId="141" xfId="0" applyNumberFormat="1" applyFont="1" applyBorder="1" applyAlignment="1" applyProtection="1">
      <alignment horizontal="right" vertical="center"/>
      <protection hidden="1"/>
    </xf>
    <xf numFmtId="0" fontId="146" fillId="0" borderId="0" xfId="0" applyFont="1" applyBorder="1" applyAlignment="1" applyProtection="1">
      <alignment horizontal="left" vertical="center" wrapText="1"/>
      <protection hidden="1"/>
    </xf>
    <xf numFmtId="0" fontId="146" fillId="0" borderId="18" xfId="0" applyFont="1" applyBorder="1" applyAlignment="1" applyProtection="1">
      <alignment horizontal="left" vertical="center" wrapText="1"/>
      <protection hidden="1"/>
    </xf>
    <xf numFmtId="2" fontId="15" fillId="0" borderId="44" xfId="0" applyNumberFormat="1" applyFont="1" applyBorder="1" applyAlignment="1" applyProtection="1">
      <alignment horizontal="right" vertical="center"/>
      <protection hidden="1"/>
    </xf>
    <xf numFmtId="2" fontId="15" fillId="0" borderId="49" xfId="0" applyNumberFormat="1" applyFont="1" applyBorder="1" applyAlignment="1" applyProtection="1">
      <alignment horizontal="right" vertical="center"/>
      <protection hidden="1"/>
    </xf>
    <xf numFmtId="0" fontId="123" fillId="0" borderId="0" xfId="0" applyFont="1" applyBorder="1" applyAlignment="1" applyProtection="1">
      <alignment horizontal="right" vertical="center"/>
      <protection hidden="1"/>
    </xf>
    <xf numFmtId="0" fontId="4" fillId="0" borderId="38"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10" fillId="0" borderId="39" xfId="0" applyFont="1" applyBorder="1" applyAlignment="1" applyProtection="1">
      <alignment horizontal="center" vertical="center" shrinkToFit="1"/>
      <protection hidden="1"/>
    </xf>
    <xf numFmtId="0" fontId="10" fillId="0" borderId="0" xfId="0" applyFont="1" applyBorder="1" applyAlignment="1" applyProtection="1">
      <alignment horizontal="center" vertical="center" shrinkToFit="1"/>
      <protection hidden="1"/>
    </xf>
    <xf numFmtId="0" fontId="4" fillId="0" borderId="0" xfId="0" applyFont="1" applyBorder="1" applyAlignment="1" applyProtection="1">
      <alignment horizontal="left" vertical="center" shrinkToFit="1"/>
      <protection hidden="1"/>
    </xf>
    <xf numFmtId="0" fontId="2" fillId="0" borderId="0" xfId="0" applyFont="1" applyBorder="1" applyAlignment="1" applyProtection="1">
      <alignment horizontal="center" vertical="center" shrinkToFit="1"/>
      <protection hidden="1"/>
    </xf>
    <xf numFmtId="0" fontId="15" fillId="0" borderId="145" xfId="0" applyFont="1" applyBorder="1" applyAlignment="1" applyProtection="1">
      <alignment horizontal="center" vertical="center"/>
      <protection hidden="1"/>
    </xf>
    <xf numFmtId="0" fontId="15" fillId="0" borderId="146" xfId="0" applyFont="1" applyBorder="1" applyAlignment="1" applyProtection="1">
      <alignment horizontal="center" vertical="center"/>
      <protection hidden="1"/>
    </xf>
    <xf numFmtId="0" fontId="129" fillId="0" borderId="147" xfId="0" applyFont="1" applyBorder="1" applyAlignment="1" applyProtection="1">
      <alignment horizontal="center" vertical="center"/>
      <protection hidden="1"/>
    </xf>
    <xf numFmtId="0" fontId="127" fillId="0" borderId="15" xfId="0" applyFont="1" applyBorder="1" applyAlignment="1" applyProtection="1">
      <alignment horizontal="center" vertical="center"/>
      <protection hidden="1"/>
    </xf>
    <xf numFmtId="0" fontId="127" fillId="0" borderId="0" xfId="0" applyFont="1" applyBorder="1" applyAlignment="1" applyProtection="1">
      <alignment horizontal="center" vertical="center"/>
      <protection hidden="1"/>
    </xf>
    <xf numFmtId="0" fontId="15" fillId="0" borderId="148" xfId="0" applyFont="1" applyBorder="1" applyAlignment="1" applyProtection="1">
      <alignment horizontal="center" vertical="center"/>
      <protection hidden="1"/>
    </xf>
    <xf numFmtId="0" fontId="4" fillId="0" borderId="149" xfId="0" applyFont="1" applyBorder="1" applyAlignment="1" applyProtection="1">
      <alignment horizontal="center" vertical="center" wrapText="1"/>
      <protection hidden="1"/>
    </xf>
    <xf numFmtId="0" fontId="4" fillId="0" borderId="150" xfId="0" applyFont="1" applyBorder="1" applyAlignment="1" applyProtection="1">
      <alignment horizontal="center" vertical="center"/>
      <protection hidden="1"/>
    </xf>
    <xf numFmtId="0" fontId="4" fillId="0" borderId="151" xfId="0" applyFont="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152" xfId="0" applyFont="1" applyBorder="1" applyAlignment="1" applyProtection="1">
      <alignment horizontal="center" vertical="center" wrapText="1"/>
      <protection hidden="1"/>
    </xf>
    <xf numFmtId="0" fontId="92" fillId="0" borderId="0" xfId="0" applyFont="1" applyBorder="1" applyAlignment="1" applyProtection="1">
      <alignment horizontal="center" vertical="top" wrapText="1" shrinkToFit="1"/>
      <protection hidden="1"/>
    </xf>
    <xf numFmtId="0" fontId="92" fillId="0" borderId="38" xfId="0" applyFont="1" applyBorder="1" applyAlignment="1" applyProtection="1">
      <alignment horizontal="center" vertical="top" wrapText="1" shrinkToFit="1"/>
      <protection hidden="1"/>
    </xf>
    <xf numFmtId="2" fontId="15" fillId="0" borderId="145" xfId="0" applyNumberFormat="1" applyFont="1" applyBorder="1" applyAlignment="1" applyProtection="1">
      <alignment horizontal="right" vertical="center"/>
      <protection hidden="1"/>
    </xf>
    <xf numFmtId="2" fontId="15" fillId="0" borderId="148" xfId="0" applyNumberFormat="1" applyFont="1" applyBorder="1" applyAlignment="1" applyProtection="1">
      <alignment horizontal="right" vertical="center"/>
      <protection hidden="1"/>
    </xf>
    <xf numFmtId="2" fontId="15" fillId="0" borderId="0" xfId="0" applyNumberFormat="1" applyFont="1" applyBorder="1" applyAlignment="1" applyProtection="1">
      <alignment horizontal="center" textRotation="90"/>
      <protection hidden="1"/>
    </xf>
    <xf numFmtId="0" fontId="15" fillId="0" borderId="0" xfId="0" applyFont="1" applyBorder="1" applyAlignment="1" applyProtection="1">
      <alignment horizontal="center" textRotation="90"/>
      <protection hidden="1"/>
    </xf>
    <xf numFmtId="2" fontId="15" fillId="0" borderId="48" xfId="0" applyNumberFormat="1" applyFont="1" applyBorder="1" applyAlignment="1" applyProtection="1">
      <alignment horizontal="right" vertical="center"/>
      <protection hidden="1"/>
    </xf>
    <xf numFmtId="2" fontId="15" fillId="0" borderId="153" xfId="0" applyNumberFormat="1" applyFont="1" applyBorder="1" applyAlignment="1" applyProtection="1">
      <alignment horizontal="right" vertical="center"/>
      <protection hidden="1"/>
    </xf>
    <xf numFmtId="0" fontId="123" fillId="0" borderId="20" xfId="0" applyFont="1" applyBorder="1" applyAlignment="1" applyProtection="1">
      <alignment horizontal="left" vertical="center"/>
      <protection hidden="1"/>
    </xf>
    <xf numFmtId="0" fontId="4" fillId="0" borderId="39"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6"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47" xfId="0" applyFont="1" applyBorder="1" applyAlignment="1" applyProtection="1">
      <alignment horizontal="center" vertical="center" wrapText="1"/>
      <protection hidden="1"/>
    </xf>
    <xf numFmtId="0" fontId="4" fillId="0" borderId="0" xfId="0" applyFont="1" applyBorder="1" applyAlignment="1" applyProtection="1">
      <alignment horizontal="center" textRotation="90"/>
      <protection hidden="1"/>
    </xf>
    <xf numFmtId="0" fontId="123" fillId="0" borderId="154" xfId="0" applyFont="1" applyBorder="1" applyAlignment="1" applyProtection="1">
      <alignment horizontal="center" vertical="center"/>
      <protection hidden="1"/>
    </xf>
    <xf numFmtId="0" fontId="123" fillId="0" borderId="16" xfId="0" applyFont="1" applyBorder="1" applyAlignment="1" applyProtection="1">
      <alignment horizontal="center" vertical="center"/>
      <protection hidden="1"/>
    </xf>
    <xf numFmtId="0" fontId="123" fillId="0" borderId="152" xfId="0" applyFont="1" applyBorder="1" applyAlignment="1" applyProtection="1">
      <alignment horizontal="center" vertical="center"/>
      <protection hidden="1"/>
    </xf>
    <xf numFmtId="0" fontId="123" fillId="0" borderId="39" xfId="0" applyFont="1" applyBorder="1" applyAlignment="1" applyProtection="1">
      <alignment horizontal="center" vertical="center"/>
      <protection hidden="1"/>
    </xf>
    <xf numFmtId="0" fontId="123" fillId="0" borderId="0" xfId="0" applyFont="1" applyBorder="1" applyAlignment="1" applyProtection="1" quotePrefix="1">
      <alignment horizontal="center" vertical="center"/>
      <protection hidden="1"/>
    </xf>
    <xf numFmtId="0" fontId="123" fillId="0" borderId="38" xfId="0" applyFont="1" applyBorder="1" applyAlignment="1" applyProtection="1" quotePrefix="1">
      <alignment horizontal="center" vertical="center"/>
      <protection hidden="1"/>
    </xf>
    <xf numFmtId="2" fontId="15" fillId="0" borderId="155" xfId="0" applyNumberFormat="1" applyFont="1" applyBorder="1" applyAlignment="1" applyProtection="1">
      <alignment horizontal="right" vertical="center"/>
      <protection hidden="1"/>
    </xf>
    <xf numFmtId="2" fontId="15" fillId="0" borderId="156" xfId="0" applyNumberFormat="1" applyFont="1" applyBorder="1" applyAlignment="1" applyProtection="1">
      <alignment horizontal="right" vertical="center"/>
      <protection hidden="1"/>
    </xf>
    <xf numFmtId="2" fontId="15" fillId="0" borderId="38" xfId="0" applyNumberFormat="1" applyFont="1" applyBorder="1" applyAlignment="1" applyProtection="1">
      <alignment horizontal="right" vertical="center"/>
      <protection hidden="1"/>
    </xf>
    <xf numFmtId="0" fontId="146" fillId="0" borderId="15" xfId="0" applyFont="1" applyBorder="1" applyAlignment="1" applyProtection="1">
      <alignment horizontal="left" vertical="center" wrapText="1"/>
      <protection hidden="1"/>
    </xf>
    <xf numFmtId="0" fontId="15" fillId="0" borderId="0"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8" fillId="0" borderId="157" xfId="0" applyFont="1" applyFill="1" applyBorder="1" applyAlignment="1" applyProtection="1">
      <alignment horizontal="center" vertical="center"/>
      <protection hidden="1"/>
    </xf>
    <xf numFmtId="0" fontId="18" fillId="0" borderId="42" xfId="0" applyFont="1" applyFill="1" applyBorder="1" applyAlignment="1" applyProtection="1">
      <alignment horizontal="center" vertical="center"/>
      <protection hidden="1"/>
    </xf>
    <xf numFmtId="0" fontId="18" fillId="0" borderId="158"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2" fontId="121" fillId="0" borderId="0" xfId="0" applyNumberFormat="1" applyFont="1" applyFill="1" applyBorder="1" applyAlignment="1" applyProtection="1">
      <alignment horizontal="left" vertical="center"/>
      <protection hidden="1"/>
    </xf>
    <xf numFmtId="0" fontId="0" fillId="0" borderId="0" xfId="0" applyFill="1" applyBorder="1" applyAlignment="1" applyProtection="1">
      <alignment horizontal="left" vertical="center" wrapText="1"/>
      <protection hidden="1"/>
    </xf>
    <xf numFmtId="0" fontId="0" fillId="0" borderId="13" xfId="0" applyFill="1" applyBorder="1" applyAlignment="1" applyProtection="1">
      <alignment horizontal="left" vertical="center" wrapText="1"/>
      <protection hidden="1"/>
    </xf>
    <xf numFmtId="0" fontId="0" fillId="0" borderId="0"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0" xfId="0" applyBorder="1" applyAlignment="1" applyProtection="1">
      <alignment horizontal="left"/>
      <protection hidden="1"/>
    </xf>
    <xf numFmtId="0" fontId="31" fillId="0" borderId="24" xfId="0" applyFont="1" applyFill="1" applyBorder="1" applyAlignment="1" applyProtection="1">
      <alignment horizontal="center" vertical="top"/>
      <protection hidden="1"/>
    </xf>
    <xf numFmtId="0" fontId="18" fillId="0" borderId="0" xfId="0" applyFont="1" applyBorder="1" applyAlignment="1" applyProtection="1">
      <alignment horizontal="left" vertical="center" wrapText="1"/>
      <protection hidden="1"/>
    </xf>
    <xf numFmtId="0" fontId="18" fillId="0" borderId="13" xfId="0" applyFont="1" applyBorder="1" applyAlignment="1" applyProtection="1">
      <alignment horizontal="left" vertical="center" wrapText="1"/>
      <protection hidden="1"/>
    </xf>
    <xf numFmtId="0" fontId="0" fillId="0" borderId="37" xfId="0" applyFill="1" applyBorder="1" applyAlignment="1" applyProtection="1">
      <alignment horizontal="center" vertical="center"/>
      <protection hidden="1"/>
    </xf>
    <xf numFmtId="0" fontId="0" fillId="0" borderId="159" xfId="0"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13" xfId="0" applyBorder="1" applyAlignment="1" applyProtection="1">
      <alignment horizontal="center"/>
      <protection hidden="1"/>
    </xf>
    <xf numFmtId="0" fontId="18" fillId="0" borderId="20" xfId="0" applyFont="1" applyBorder="1" applyAlignment="1" applyProtection="1">
      <alignment horizontal="center"/>
      <protection hidden="1"/>
    </xf>
    <xf numFmtId="2" fontId="18" fillId="0" borderId="20" xfId="0" applyNumberFormat="1" applyFont="1" applyBorder="1" applyAlignment="1" applyProtection="1">
      <alignment horizontal="center"/>
      <protection hidden="1"/>
    </xf>
    <xf numFmtId="2" fontId="18" fillId="0" borderId="20" xfId="0" applyNumberFormat="1" applyFont="1" applyBorder="1" applyAlignment="1" applyProtection="1" quotePrefix="1">
      <alignment horizontal="center"/>
      <protection hidden="1"/>
    </xf>
    <xf numFmtId="0" fontId="121" fillId="0" borderId="20" xfId="0" applyFont="1" applyBorder="1" applyAlignment="1" applyProtection="1">
      <alignment horizontal="center"/>
      <protection hidden="1"/>
    </xf>
    <xf numFmtId="2" fontId="25" fillId="0" borderId="20" xfId="0" applyNumberFormat="1" applyFont="1" applyBorder="1" applyAlignment="1" applyProtection="1">
      <alignment horizontal="center" vertical="center"/>
      <protection hidden="1"/>
    </xf>
    <xf numFmtId="2" fontId="25"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8" fillId="0" borderId="20" xfId="0" applyFont="1" applyBorder="1" applyAlignment="1" applyProtection="1">
      <alignment horizontal="center" vertical="center"/>
      <protection hidden="1"/>
    </xf>
    <xf numFmtId="0" fontId="0" fillId="0" borderId="16" xfId="0" applyBorder="1" applyAlignment="1" applyProtection="1">
      <alignment horizontal="center"/>
      <protection hidden="1"/>
    </xf>
    <xf numFmtId="0" fontId="93" fillId="0" borderId="0" xfId="0" applyFont="1" applyBorder="1" applyAlignment="1" applyProtection="1">
      <alignment horizontal="center" vertical="center"/>
      <protection hidden="1"/>
    </xf>
    <xf numFmtId="0" fontId="25" fillId="0" borderId="53" xfId="0" applyFont="1" applyBorder="1" applyAlignment="1" applyProtection="1">
      <alignment horizontal="center" vertical="center"/>
      <protection hidden="1"/>
    </xf>
    <xf numFmtId="0" fontId="25" fillId="0" borderId="139"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94" fillId="0" borderId="11" xfId="0" applyFont="1" applyBorder="1" applyAlignment="1" applyProtection="1">
      <alignment horizontal="center" vertical="center"/>
      <protection hidden="1"/>
    </xf>
    <xf numFmtId="0" fontId="94" fillId="0" borderId="32" xfId="0" applyFont="1" applyBorder="1" applyAlignment="1" applyProtection="1">
      <alignment horizontal="center" vertical="center"/>
      <protection hidden="1"/>
    </xf>
    <xf numFmtId="0" fontId="95" fillId="0" borderId="32" xfId="0" applyFont="1" applyBorder="1" applyAlignment="1" applyProtection="1">
      <alignment horizontal="center" vertical="center"/>
      <protection hidden="1"/>
    </xf>
    <xf numFmtId="0" fontId="95" fillId="0" borderId="10" xfId="0" applyFont="1" applyBorder="1" applyAlignment="1" applyProtection="1">
      <alignment horizontal="center" vertical="center"/>
      <protection hidden="1"/>
    </xf>
    <xf numFmtId="0" fontId="96" fillId="0" borderId="53" xfId="0" applyFont="1" applyBorder="1" applyAlignment="1" applyProtection="1">
      <alignment horizontal="center" vertical="center"/>
      <protection hidden="1"/>
    </xf>
    <xf numFmtId="0" fontId="96" fillId="0" borderId="48" xfId="0" applyFont="1" applyBorder="1" applyAlignment="1" applyProtection="1">
      <alignment horizontal="center" vertical="center"/>
      <protection hidden="1"/>
    </xf>
    <xf numFmtId="0" fontId="96" fillId="0" borderId="139" xfId="0" applyFont="1" applyBorder="1" applyAlignment="1" applyProtection="1">
      <alignment horizontal="center" vertical="center"/>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0" fillId="0" borderId="17" xfId="0" applyBorder="1" applyAlignment="1" applyProtection="1">
      <alignment horizontal="center"/>
      <protection hidden="1"/>
    </xf>
    <xf numFmtId="0" fontId="18" fillId="0" borderId="53" xfId="0" applyFont="1" applyBorder="1" applyAlignment="1" applyProtection="1">
      <alignment horizontal="center"/>
      <protection hidden="1"/>
    </xf>
    <xf numFmtId="0" fontId="18" fillId="0" borderId="48" xfId="0" applyFont="1" applyBorder="1" applyAlignment="1" applyProtection="1">
      <alignment horizontal="center"/>
      <protection hidden="1"/>
    </xf>
    <xf numFmtId="0" fontId="18" fillId="0" borderId="139" xfId="0" applyFont="1" applyBorder="1" applyAlignment="1" applyProtection="1">
      <alignment horizontal="center"/>
      <protection hidden="1"/>
    </xf>
    <xf numFmtId="0" fontId="0" fillId="0" borderId="20" xfId="0" applyBorder="1" applyAlignment="1" applyProtection="1">
      <alignment horizontal="center"/>
      <protection hidden="1"/>
    </xf>
    <xf numFmtId="0" fontId="0" fillId="0" borderId="47" xfId="0" applyBorder="1" applyAlignment="1" applyProtection="1">
      <alignment horizontal="center"/>
      <protection hidden="1"/>
    </xf>
    <xf numFmtId="0" fontId="25" fillId="0" borderId="53" xfId="0" applyFont="1" applyBorder="1" applyAlignment="1" applyProtection="1">
      <alignment horizontal="center" vertical="center" wrapText="1"/>
      <protection hidden="1"/>
    </xf>
    <xf numFmtId="0" fontId="25" fillId="0" borderId="48" xfId="0" applyFont="1" applyBorder="1" applyAlignment="1" applyProtection="1">
      <alignment horizontal="center" vertical="center" wrapText="1"/>
      <protection hidden="1"/>
    </xf>
    <xf numFmtId="0" fontId="25" fillId="0" borderId="139" xfId="0" applyFont="1" applyBorder="1" applyAlignment="1" applyProtection="1">
      <alignment horizontal="center" vertical="center" wrapText="1"/>
      <protection hidden="1"/>
    </xf>
    <xf numFmtId="0" fontId="18" fillId="0" borderId="53" xfId="0" applyFont="1" applyFill="1" applyBorder="1" applyAlignment="1" applyProtection="1">
      <alignment horizontal="center" vertical="center"/>
      <protection hidden="1"/>
    </xf>
    <xf numFmtId="0" fontId="18" fillId="0" borderId="48" xfId="0" applyFont="1" applyFill="1" applyBorder="1" applyAlignment="1" applyProtection="1">
      <alignment horizontal="center" vertical="center"/>
      <protection hidden="1"/>
    </xf>
    <xf numFmtId="0" fontId="18" fillId="0" borderId="139" xfId="0" applyFont="1" applyFill="1" applyBorder="1" applyAlignment="1" applyProtection="1">
      <alignment horizontal="center" vertical="center"/>
      <protection hidden="1"/>
    </xf>
    <xf numFmtId="0" fontId="121" fillId="0" borderId="48" xfId="0" applyFont="1" applyBorder="1" applyAlignment="1" applyProtection="1">
      <alignment horizontal="center" vertical="center"/>
      <protection hidden="1"/>
    </xf>
    <xf numFmtId="0" fontId="26" fillId="0" borderId="20" xfId="0" applyFont="1" applyBorder="1" applyAlignment="1" applyProtection="1">
      <alignment horizontal="left"/>
      <protection hidden="1"/>
    </xf>
    <xf numFmtId="0" fontId="146" fillId="0" borderId="12" xfId="0" applyFont="1" applyBorder="1" applyAlignment="1" applyProtection="1">
      <alignment horizontal="left"/>
      <protection hidden="1"/>
    </xf>
    <xf numFmtId="0" fontId="146" fillId="0" borderId="0" xfId="0" applyFont="1" applyBorder="1" applyAlignment="1" applyProtection="1">
      <alignment horizontal="left"/>
      <protection hidden="1"/>
    </xf>
    <xf numFmtId="0" fontId="23" fillId="0" borderId="0" xfId="0" applyFont="1" applyBorder="1" applyAlignment="1" applyProtection="1">
      <alignment horizontal="left" vertical="center" wrapText="1"/>
      <protection hidden="1"/>
    </xf>
    <xf numFmtId="0" fontId="28" fillId="0" borderId="0" xfId="0" applyFont="1" applyBorder="1" applyAlignment="1" applyProtection="1">
      <alignment horizontal="center" vertical="center"/>
      <protection hidden="1"/>
    </xf>
    <xf numFmtId="0" fontId="0" fillId="0" borderId="15" xfId="0" applyBorder="1" applyAlignment="1" applyProtection="1">
      <alignment horizontal="center"/>
      <protection hidden="1"/>
    </xf>
    <xf numFmtId="0" fontId="121" fillId="0" borderId="53" xfId="0" applyFont="1" applyBorder="1" applyAlignment="1" applyProtection="1">
      <alignment horizontal="center"/>
      <protection hidden="1"/>
    </xf>
    <xf numFmtId="0" fontId="121" fillId="0" borderId="48" xfId="0" applyFont="1" applyBorder="1" applyAlignment="1" applyProtection="1">
      <alignment horizontal="center"/>
      <protection hidden="1"/>
    </xf>
    <xf numFmtId="0" fontId="121" fillId="0" borderId="139" xfId="0" applyFont="1" applyBorder="1" applyAlignment="1" applyProtection="1">
      <alignment horizontal="center"/>
      <protection hidden="1"/>
    </xf>
    <xf numFmtId="0" fontId="18" fillId="0" borderId="20" xfId="0" applyFont="1" applyBorder="1" applyAlignment="1" applyProtection="1">
      <alignment horizontal="left"/>
      <protection hidden="1"/>
    </xf>
    <xf numFmtId="0" fontId="28" fillId="0" borderId="20" xfId="0" applyFont="1" applyBorder="1" applyAlignment="1" applyProtection="1">
      <alignment horizontal="left" vertical="center"/>
      <protection hidden="1"/>
    </xf>
    <xf numFmtId="1" fontId="4" fillId="0" borderId="0" xfId="58" applyNumberFormat="1" applyFont="1" applyBorder="1" applyAlignment="1" applyProtection="1">
      <alignment horizontal="left" vertical="center" wrapText="1"/>
      <protection hidden="1"/>
    </xf>
    <xf numFmtId="0" fontId="4" fillId="0" borderId="0" xfId="58" applyFont="1" applyBorder="1" applyAlignment="1" applyProtection="1">
      <alignment horizontal="center" vertical="center"/>
      <protection hidden="1"/>
    </xf>
    <xf numFmtId="0" fontId="15" fillId="0" borderId="54" xfId="58" applyFont="1" applyBorder="1" applyAlignment="1" applyProtection="1">
      <alignment horizontal="center" vertical="center"/>
      <protection hidden="1"/>
    </xf>
    <xf numFmtId="0" fontId="21" fillId="0" borderId="54" xfId="58" applyFont="1" applyBorder="1" applyAlignment="1" applyProtection="1">
      <alignment horizontal="center"/>
      <protection hidden="1"/>
    </xf>
    <xf numFmtId="2" fontId="15" fillId="0" borderId="160" xfId="58" applyNumberFormat="1" applyFont="1" applyBorder="1" applyAlignment="1" applyProtection="1">
      <alignment horizontal="center" vertical="center"/>
      <protection hidden="1"/>
    </xf>
    <xf numFmtId="0" fontId="21" fillId="0" borderId="161" xfId="58" applyFont="1" applyBorder="1" applyAlignment="1" applyProtection="1">
      <alignment horizontal="center"/>
      <protection hidden="1"/>
    </xf>
    <xf numFmtId="0" fontId="15" fillId="0" borderId="161" xfId="58" applyFont="1" applyBorder="1" applyAlignment="1" applyProtection="1">
      <alignment horizontal="center" vertical="center"/>
      <protection hidden="1"/>
    </xf>
    <xf numFmtId="2" fontId="15" fillId="0" borderId="162" xfId="58" applyNumberFormat="1" applyFont="1" applyBorder="1" applyAlignment="1" applyProtection="1">
      <alignment horizontal="center" vertical="center"/>
      <protection hidden="1"/>
    </xf>
    <xf numFmtId="0" fontId="4" fillId="0" borderId="163" xfId="58" applyFont="1" applyBorder="1" applyAlignment="1" applyProtection="1">
      <alignment horizontal="center" vertical="center"/>
      <protection hidden="1"/>
    </xf>
    <xf numFmtId="0" fontId="4" fillId="0" borderId="27" xfId="58" applyFont="1" applyBorder="1" applyAlignment="1" applyProtection="1">
      <alignment horizontal="center" vertical="center"/>
      <protection hidden="1"/>
    </xf>
    <xf numFmtId="0" fontId="4" fillId="0" borderId="164" xfId="58" applyFont="1" applyBorder="1" applyAlignment="1" applyProtection="1">
      <alignment horizontal="center" vertical="center" wrapText="1"/>
      <protection hidden="1"/>
    </xf>
    <xf numFmtId="0" fontId="8" fillId="0" borderId="165" xfId="58" applyFont="1" applyBorder="1" applyAlignment="1" applyProtection="1">
      <alignment horizontal="center" vertical="center" wrapText="1"/>
      <protection hidden="1"/>
    </xf>
    <xf numFmtId="0" fontId="8" fillId="0" borderId="166" xfId="58" applyFont="1" applyBorder="1" applyAlignment="1" applyProtection="1">
      <alignment horizontal="center" vertical="center" wrapText="1"/>
      <protection hidden="1"/>
    </xf>
    <xf numFmtId="0" fontId="8" fillId="0" borderId="167" xfId="58" applyFont="1" applyBorder="1" applyAlignment="1" applyProtection="1">
      <alignment horizontal="center" vertical="center" wrapText="1"/>
      <protection hidden="1"/>
    </xf>
    <xf numFmtId="0" fontId="4" fillId="0" borderId="54" xfId="58" applyFont="1" applyBorder="1" applyAlignment="1" applyProtection="1">
      <alignment horizontal="left" vertical="center" wrapText="1"/>
      <protection hidden="1"/>
    </xf>
    <xf numFmtId="2" fontId="4" fillId="0" borderId="160" xfId="58" applyNumberFormat="1" applyFont="1" applyBorder="1" applyAlignment="1" applyProtection="1">
      <alignment horizontal="center" vertical="center"/>
      <protection hidden="1"/>
    </xf>
    <xf numFmtId="0" fontId="4" fillId="0" borderId="0" xfId="58" applyFont="1" applyBorder="1" applyAlignment="1" applyProtection="1">
      <alignment horizontal="left" vertical="center"/>
      <protection hidden="1"/>
    </xf>
    <xf numFmtId="0" fontId="6" fillId="0" borderId="0" xfId="58" applyFont="1" applyBorder="1" applyAlignment="1" applyProtection="1">
      <alignment horizontal="left" vertical="center" wrapText="1"/>
      <protection hidden="1"/>
    </xf>
    <xf numFmtId="0" fontId="2" fillId="0" borderId="0" xfId="58" applyFont="1" applyBorder="1" applyAlignment="1" applyProtection="1">
      <alignment horizontal="center"/>
      <protection hidden="1"/>
    </xf>
    <xf numFmtId="0" fontId="4" fillId="0" borderId="0" xfId="58" applyFont="1" applyBorder="1" applyAlignment="1" applyProtection="1">
      <alignment horizontal="left" shrinkToFit="1"/>
      <protection hidden="1"/>
    </xf>
    <xf numFmtId="0" fontId="37" fillId="0" borderId="0" xfId="58" applyFont="1" applyBorder="1" applyAlignment="1" applyProtection="1">
      <alignment horizontal="center"/>
      <protection hidden="1"/>
    </xf>
    <xf numFmtId="0" fontId="4" fillId="33" borderId="54" xfId="58" applyFont="1" applyFill="1" applyBorder="1" applyAlignment="1" applyProtection="1">
      <alignment horizontal="left" vertical="center"/>
      <protection hidden="1"/>
    </xf>
    <xf numFmtId="0" fontId="4" fillId="0" borderId="54" xfId="58" applyFont="1" applyBorder="1" applyProtection="1">
      <alignment/>
      <protection hidden="1"/>
    </xf>
    <xf numFmtId="0" fontId="4" fillId="0" borderId="160" xfId="58" applyFont="1" applyBorder="1" applyProtection="1">
      <alignment/>
      <protection hidden="1"/>
    </xf>
    <xf numFmtId="0" fontId="35" fillId="0" borderId="161" xfId="58" applyFont="1" applyBorder="1" applyAlignment="1" applyProtection="1">
      <alignment horizontal="center" vertical="center"/>
      <protection hidden="1"/>
    </xf>
    <xf numFmtId="2" fontId="8" fillId="0" borderId="168" xfId="58" applyNumberFormat="1" applyFont="1" applyBorder="1" applyAlignment="1" applyProtection="1">
      <alignment horizontal="center" vertical="center"/>
      <protection hidden="1"/>
    </xf>
    <xf numFmtId="2" fontId="8" fillId="0" borderId="169" xfId="58" applyNumberFormat="1" applyFont="1" applyBorder="1" applyAlignment="1" applyProtection="1">
      <alignment horizontal="center" vertical="center"/>
      <protection hidden="1"/>
    </xf>
    <xf numFmtId="0" fontId="36" fillId="0" borderId="0" xfId="58" applyFont="1" applyBorder="1" applyAlignment="1" applyProtection="1">
      <alignment horizontal="center" vertical="center"/>
      <protection hidden="1"/>
    </xf>
    <xf numFmtId="0" fontId="4" fillId="0" borderId="27" xfId="58" applyFont="1" applyBorder="1" applyAlignment="1" applyProtection="1">
      <alignment horizontal="center" vertical="center" wrapText="1"/>
      <protection hidden="1"/>
    </xf>
    <xf numFmtId="0" fontId="4" fillId="0" borderId="31" xfId="58" applyFont="1" applyBorder="1" applyAlignment="1" applyProtection="1">
      <alignment horizontal="center" vertical="center"/>
      <protection hidden="1"/>
    </xf>
    <xf numFmtId="0" fontId="4" fillId="0" borderId="54" xfId="58" applyFont="1" applyBorder="1" applyAlignment="1" applyProtection="1">
      <alignment horizontal="center" vertical="center"/>
      <protection hidden="1"/>
    </xf>
    <xf numFmtId="0" fontId="4" fillId="0" borderId="170" xfId="58" applyFont="1" applyBorder="1" applyAlignment="1" applyProtection="1">
      <alignment horizontal="center" vertical="center" wrapText="1"/>
      <protection hidden="1"/>
    </xf>
    <xf numFmtId="0" fontId="4" fillId="0" borderId="171" xfId="58" applyFont="1" applyBorder="1" applyAlignment="1" applyProtection="1">
      <alignment horizontal="center" vertical="center" wrapText="1"/>
      <protection hidden="1"/>
    </xf>
    <xf numFmtId="1" fontId="4" fillId="0" borderId="172" xfId="58" applyNumberFormat="1" applyFont="1" applyBorder="1" applyAlignment="1" applyProtection="1">
      <alignment horizontal="center" vertical="center" wrapText="1"/>
      <protection hidden="1"/>
    </xf>
    <xf numFmtId="1" fontId="4" fillId="0" borderId="173" xfId="58" applyNumberFormat="1" applyFont="1" applyBorder="1" applyAlignment="1" applyProtection="1">
      <alignment horizontal="center" vertical="center" wrapText="1"/>
      <protection hidden="1"/>
    </xf>
    <xf numFmtId="1" fontId="4" fillId="0" borderId="174" xfId="58" applyNumberFormat="1" applyFont="1" applyBorder="1" applyAlignment="1" applyProtection="1">
      <alignment horizontal="center" vertical="center" wrapText="1"/>
      <protection hidden="1"/>
    </xf>
    <xf numFmtId="1" fontId="4" fillId="0" borderId="175" xfId="58" applyNumberFormat="1" applyFont="1" applyBorder="1" applyAlignment="1" applyProtection="1">
      <alignment horizontal="center" vertical="center" wrapText="1"/>
      <protection hidden="1"/>
    </xf>
    <xf numFmtId="1" fontId="4" fillId="0" borderId="176" xfId="58" applyNumberFormat="1" applyFont="1" applyBorder="1" applyAlignment="1" applyProtection="1">
      <alignment horizontal="center" vertical="center" wrapText="1"/>
      <protection hidden="1"/>
    </xf>
    <xf numFmtId="1" fontId="4" fillId="0" borderId="177" xfId="58" applyNumberFormat="1" applyFont="1" applyBorder="1" applyAlignment="1" applyProtection="1">
      <alignment horizontal="center" vertical="center" wrapText="1"/>
      <protection hidden="1"/>
    </xf>
    <xf numFmtId="2" fontId="4" fillId="0" borderId="172" xfId="58" applyNumberFormat="1" applyFont="1" applyBorder="1" applyAlignment="1" applyProtection="1">
      <alignment horizontal="center" vertical="center" shrinkToFit="1"/>
      <protection hidden="1"/>
    </xf>
    <xf numFmtId="2" fontId="4" fillId="0" borderId="178" xfId="58" applyNumberFormat="1" applyFont="1" applyBorder="1" applyAlignment="1" applyProtection="1">
      <alignment horizontal="center" vertical="center" shrinkToFit="1"/>
      <protection hidden="1"/>
    </xf>
    <xf numFmtId="2" fontId="4" fillId="0" borderId="175" xfId="58" applyNumberFormat="1" applyFont="1" applyBorder="1" applyAlignment="1" applyProtection="1">
      <alignment horizontal="center" vertical="center" shrinkToFit="1"/>
      <protection hidden="1"/>
    </xf>
    <xf numFmtId="2" fontId="4" fillId="0" borderId="179" xfId="58" applyNumberFormat="1" applyFont="1" applyBorder="1" applyAlignment="1" applyProtection="1">
      <alignment horizontal="center" vertical="center" shrinkToFit="1"/>
      <protection hidden="1"/>
    </xf>
    <xf numFmtId="0" fontId="6" fillId="0" borderId="180" xfId="58" applyFont="1" applyBorder="1" applyAlignment="1" applyProtection="1">
      <alignment horizontal="left" vertical="center" wrapText="1"/>
      <protection hidden="1"/>
    </xf>
    <xf numFmtId="0" fontId="7" fillId="0" borderId="0" xfId="58" applyFont="1" applyBorder="1" applyAlignment="1" applyProtection="1">
      <alignment horizontal="center"/>
      <protection hidden="1"/>
    </xf>
    <xf numFmtId="0" fontId="34" fillId="0" borderId="0" xfId="58" applyFont="1" applyBorder="1" applyAlignment="1" applyProtection="1">
      <alignment horizontal="center"/>
      <protection hidden="1"/>
    </xf>
    <xf numFmtId="178" fontId="8" fillId="0" borderId="0" xfId="58" applyNumberFormat="1" applyFont="1" applyBorder="1" applyAlignment="1" applyProtection="1">
      <alignment horizontal="center" vertical="center" shrinkToFit="1"/>
      <protection hidden="1"/>
    </xf>
    <xf numFmtId="0" fontId="4" fillId="0" borderId="0" xfId="58" applyNumberFormat="1" applyFont="1" applyBorder="1" applyAlignment="1" applyProtection="1">
      <alignment horizontal="left" vertical="center" shrinkToFit="1"/>
      <protection hidden="1"/>
    </xf>
    <xf numFmtId="0" fontId="15" fillId="0" borderId="0" xfId="58" applyFont="1" applyBorder="1" applyAlignment="1" applyProtection="1">
      <alignment horizontal="left" vertical="center" wrapText="1"/>
      <protection hidden="1"/>
    </xf>
    <xf numFmtId="182" fontId="22" fillId="0" borderId="0" xfId="58" applyNumberFormat="1" applyFont="1" applyBorder="1" applyAlignment="1" applyProtection="1">
      <alignment horizontal="right"/>
      <protection hidden="1"/>
    </xf>
    <xf numFmtId="185" fontId="22" fillId="0" borderId="0" xfId="58" applyNumberFormat="1" applyFont="1" applyBorder="1" applyAlignment="1" applyProtection="1">
      <alignment horizontal="left"/>
      <protection hidden="1"/>
    </xf>
    <xf numFmtId="185" fontId="22" fillId="0" borderId="0" xfId="58" applyNumberFormat="1" applyFont="1" applyBorder="1" applyAlignment="1" applyProtection="1">
      <alignment horizontal="right"/>
      <protection hidden="1"/>
    </xf>
    <xf numFmtId="0" fontId="45" fillId="0" borderId="21" xfId="58" applyFont="1" applyBorder="1" applyAlignment="1" applyProtection="1">
      <alignment horizontal="center" vertical="center"/>
      <protection hidden="1"/>
    </xf>
    <xf numFmtId="1" fontId="40" fillId="0" borderId="21" xfId="58" applyNumberFormat="1" applyFont="1" applyBorder="1" applyAlignment="1" applyProtection="1">
      <alignment horizontal="center" vertical="center"/>
      <protection hidden="1"/>
    </xf>
    <xf numFmtId="0" fontId="40" fillId="0" borderId="21" xfId="58" applyFont="1" applyBorder="1" applyAlignment="1" applyProtection="1">
      <alignment horizontal="center" vertical="center"/>
      <protection hidden="1"/>
    </xf>
    <xf numFmtId="0" fontId="41" fillId="0" borderId="0" xfId="58" applyFont="1" applyBorder="1" applyAlignment="1" applyProtection="1">
      <alignment horizontal="center" vertical="center" wrapText="1"/>
      <protection hidden="1"/>
    </xf>
    <xf numFmtId="0" fontId="7" fillId="0" borderId="12" xfId="58" applyFont="1" applyBorder="1" applyAlignment="1" applyProtection="1">
      <alignment horizontal="center" vertical="top" wrapText="1"/>
      <protection hidden="1"/>
    </xf>
    <xf numFmtId="0" fontId="0" fillId="0" borderId="0" xfId="0" applyBorder="1" applyAlignment="1" applyProtection="1">
      <alignment/>
      <protection hidden="1"/>
    </xf>
    <xf numFmtId="0" fontId="0" fillId="0" borderId="13" xfId="0" applyBorder="1" applyAlignment="1" applyProtection="1">
      <alignment/>
      <protection hidden="1"/>
    </xf>
    <xf numFmtId="0" fontId="2" fillId="0" borderId="12" xfId="58" applyFont="1" applyBorder="1" applyAlignment="1" applyProtection="1">
      <alignment horizontal="center"/>
      <protection hidden="1"/>
    </xf>
    <xf numFmtId="0" fontId="2" fillId="0" borderId="13" xfId="58" applyFont="1" applyBorder="1" applyAlignment="1" applyProtection="1">
      <alignment horizontal="center"/>
      <protection hidden="1"/>
    </xf>
    <xf numFmtId="0" fontId="42" fillId="0" borderId="12" xfId="58" applyFont="1" applyBorder="1" applyAlignment="1" applyProtection="1">
      <alignment horizontal="center" wrapText="1"/>
      <protection hidden="1"/>
    </xf>
    <xf numFmtId="0" fontId="42" fillId="0" borderId="0" xfId="58" applyFont="1" applyBorder="1" applyAlignment="1" applyProtection="1">
      <alignment horizontal="center" wrapText="1"/>
      <protection hidden="1"/>
    </xf>
    <xf numFmtId="0" fontId="42" fillId="0" borderId="13" xfId="58" applyFont="1" applyBorder="1" applyAlignment="1" applyProtection="1">
      <alignment horizontal="center" wrapText="1"/>
      <protection hidden="1"/>
    </xf>
    <xf numFmtId="0" fontId="41" fillId="0" borderId="21" xfId="58" applyFont="1" applyBorder="1" applyAlignment="1" applyProtection="1">
      <alignment horizontal="center" vertical="center" wrapText="1"/>
      <protection hidden="1"/>
    </xf>
    <xf numFmtId="0" fontId="21" fillId="0" borderId="21" xfId="58" applyFont="1" applyBorder="1" applyAlignment="1" applyProtection="1">
      <alignment horizontal="center" vertical="center" wrapText="1"/>
      <protection hidden="1"/>
    </xf>
    <xf numFmtId="0" fontId="2" fillId="0" borderId="21" xfId="58" applyFont="1" applyFill="1" applyBorder="1" applyAlignment="1" applyProtection="1">
      <alignment horizontal="center" vertical="center" wrapText="1"/>
      <protection hidden="1"/>
    </xf>
    <xf numFmtId="0" fontId="41" fillId="0" borderId="21" xfId="58" applyFont="1" applyBorder="1" applyAlignment="1" applyProtection="1">
      <alignment horizontal="justify" vertical="center" wrapText="1"/>
      <protection hidden="1"/>
    </xf>
    <xf numFmtId="0" fontId="41" fillId="0" borderId="21" xfId="58" applyFont="1" applyBorder="1" applyAlignment="1" applyProtection="1">
      <alignment horizontal="left" vertical="center" shrinkToFit="1"/>
      <protection hidden="1"/>
    </xf>
    <xf numFmtId="0" fontId="41" fillId="0" borderId="21" xfId="58" applyFont="1" applyBorder="1" applyAlignment="1" applyProtection="1">
      <alignment horizontal="center" vertical="center"/>
      <protection hidden="1"/>
    </xf>
    <xf numFmtId="0" fontId="41" fillId="0" borderId="12" xfId="58" applyFont="1" applyBorder="1" applyAlignment="1" applyProtection="1">
      <alignment horizontal="center" vertical="center"/>
      <protection hidden="1"/>
    </xf>
    <xf numFmtId="0" fontId="41" fillId="0" borderId="0" xfId="58" applyFont="1" applyBorder="1" applyAlignment="1" applyProtection="1">
      <alignment horizontal="center" vertical="center"/>
      <protection hidden="1"/>
    </xf>
    <xf numFmtId="0" fontId="41" fillId="0" borderId="13" xfId="58" applyFont="1" applyBorder="1" applyAlignment="1" applyProtection="1">
      <alignment horizontal="center" vertical="center"/>
      <protection hidden="1"/>
    </xf>
    <xf numFmtId="0" fontId="7" fillId="0" borderId="0" xfId="58" applyFont="1" applyBorder="1" applyAlignment="1" applyProtection="1">
      <alignment horizontal="center" vertical="top" wrapText="1"/>
      <protection hidden="1"/>
    </xf>
    <xf numFmtId="0" fontId="7" fillId="0" borderId="13" xfId="58" applyFont="1" applyBorder="1" applyAlignment="1" applyProtection="1">
      <alignment horizontal="center" vertical="top" wrapText="1"/>
      <protection hidden="1"/>
    </xf>
    <xf numFmtId="0" fontId="42" fillId="0" borderId="12" xfId="58" applyFont="1" applyBorder="1" applyAlignment="1" applyProtection="1">
      <alignment horizontal="left" vertical="center" wrapText="1"/>
      <protection hidden="1"/>
    </xf>
    <xf numFmtId="0" fontId="42" fillId="0" borderId="0" xfId="58" applyFont="1" applyBorder="1" applyAlignment="1" applyProtection="1">
      <alignment horizontal="left" vertical="center" wrapText="1"/>
      <protection hidden="1"/>
    </xf>
    <xf numFmtId="0" fontId="42" fillId="0" borderId="13" xfId="58" applyFont="1" applyBorder="1" applyAlignment="1" applyProtection="1">
      <alignment horizontal="left" vertical="center" wrapText="1"/>
      <protection hidden="1"/>
    </xf>
    <xf numFmtId="182" fontId="22" fillId="0" borderId="0" xfId="58" applyNumberFormat="1" applyFont="1" applyBorder="1" applyAlignment="1" applyProtection="1">
      <alignment horizontal="left"/>
      <protection hidden="1"/>
    </xf>
    <xf numFmtId="0" fontId="6" fillId="0" borderId="21" xfId="60" applyFont="1" applyFill="1" applyBorder="1" applyAlignment="1" applyProtection="1">
      <alignment horizontal="center" vertical="center" wrapText="1"/>
      <protection hidden="1"/>
    </xf>
    <xf numFmtId="0" fontId="8" fillId="0" borderId="0" xfId="60" applyFont="1" applyBorder="1" applyAlignment="1" applyProtection="1">
      <alignment horizontal="center" vertical="center" wrapText="1"/>
      <protection hidden="1"/>
    </xf>
    <xf numFmtId="0" fontId="4" fillId="0" borderId="0" xfId="60" applyFont="1" applyBorder="1" applyAlignment="1" applyProtection="1">
      <alignment horizontal="center"/>
      <protection hidden="1"/>
    </xf>
    <xf numFmtId="0" fontId="15" fillId="0" borderId="0" xfId="60" applyFont="1" applyBorder="1" applyAlignment="1" applyProtection="1">
      <alignment horizontal="center"/>
      <protection hidden="1"/>
    </xf>
    <xf numFmtId="0" fontId="6" fillId="0" borderId="21" xfId="60" applyFont="1" applyFill="1" applyBorder="1" applyAlignment="1" applyProtection="1">
      <alignment horizontal="center" vertical="center"/>
      <protection hidden="1"/>
    </xf>
    <xf numFmtId="0" fontId="6" fillId="0" borderId="0" xfId="60" applyFont="1" applyBorder="1" applyAlignment="1" applyProtection="1">
      <alignment horizontal="left"/>
      <protection hidden="1"/>
    </xf>
    <xf numFmtId="0" fontId="4" fillId="0" borderId="0" xfId="60" applyFont="1" applyBorder="1" applyAlignment="1" applyProtection="1">
      <alignment horizontal="center" vertical="center"/>
      <protection hidden="1"/>
    </xf>
    <xf numFmtId="0" fontId="133" fillId="9" borderId="112" xfId="0" applyFont="1" applyFill="1" applyBorder="1" applyAlignment="1" applyProtection="1">
      <alignment horizontal="center" vertical="center"/>
      <protection hidden="1"/>
    </xf>
    <xf numFmtId="0" fontId="133" fillId="9" borderId="136" xfId="0" applyFont="1" applyFill="1" applyBorder="1" applyAlignment="1" applyProtection="1">
      <alignment horizontal="center" vertical="center"/>
      <protection hidden="1"/>
    </xf>
    <xf numFmtId="0" fontId="130" fillId="0" borderId="21" xfId="0" applyFont="1" applyBorder="1" applyAlignment="1" applyProtection="1">
      <alignment horizontal="center" vertical="center" wrapText="1"/>
      <protection hidden="1" locked="0"/>
    </xf>
    <xf numFmtId="178" fontId="130" fillId="0" borderId="21" xfId="0" applyNumberFormat="1" applyFont="1" applyBorder="1" applyAlignment="1" applyProtection="1">
      <alignment horizontal="center" vertical="center" wrapText="1"/>
      <protection hidden="1" locked="0"/>
    </xf>
    <xf numFmtId="0" fontId="121" fillId="0" borderId="53" xfId="0" applyFont="1" applyBorder="1" applyAlignment="1" applyProtection="1">
      <alignment horizontal="center" vertical="center"/>
      <protection hidden="1" locked="0"/>
    </xf>
    <xf numFmtId="0" fontId="121" fillId="0" borderId="139" xfId="0" applyFont="1" applyBorder="1" applyAlignment="1" applyProtection="1">
      <alignment horizontal="center" vertical="center"/>
      <protection hidden="1" locked="0"/>
    </xf>
    <xf numFmtId="0" fontId="124" fillId="0" borderId="0" xfId="0" applyFont="1" applyAlignment="1" applyProtection="1">
      <alignment vertical="center"/>
      <protection hidden="1" locked="0"/>
    </xf>
    <xf numFmtId="0" fontId="124" fillId="0" borderId="0" xfId="0" applyFont="1" applyAlignment="1" applyProtection="1">
      <alignment horizontal="center"/>
      <protection hidden="1"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oceeding!A1" /><Relationship Id="rId2" Type="http://schemas.openxmlformats.org/officeDocument/2006/relationships/hyperlink" Target="#Bill!A1" /><Relationship Id="rId3" Type="http://schemas.openxmlformats.org/officeDocument/2006/relationships/hyperlink" Target="#P.Tax!A1" /><Relationship Id="rId4" Type="http://schemas.openxmlformats.org/officeDocument/2006/relationships/hyperlink" Target="#'APTC-47'!A1" /><Relationship Id="rId5" Type="http://schemas.openxmlformats.org/officeDocument/2006/relationships/hyperlink" Target="#'Back 47'!A1" /><Relationship Id="rId6" Type="http://schemas.openxmlformats.org/officeDocument/2006/relationships/hyperlink" Target="#'Parer token &amp; 101'!A1" /><Relationship Id="rId7" Type="http://schemas.openxmlformats.org/officeDocument/2006/relationships/hyperlink" Target="#'Annexure 1 &amp;2'!A1" /><Relationship Id="rId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171450</xdr:rowOff>
    </xdr:from>
    <xdr:to>
      <xdr:col>15</xdr:col>
      <xdr:colOff>276225</xdr:colOff>
      <xdr:row>2</xdr:row>
      <xdr:rowOff>85725</xdr:rowOff>
    </xdr:to>
    <xdr:sp>
      <xdr:nvSpPr>
        <xdr:cNvPr id="1" name="Oval 1">
          <a:hlinkClick r:id="rId1"/>
        </xdr:cNvPr>
        <xdr:cNvSpPr>
          <a:spLocks/>
        </xdr:cNvSpPr>
      </xdr:nvSpPr>
      <xdr:spPr>
        <a:xfrm>
          <a:off x="9344025" y="171450"/>
          <a:ext cx="1276350" cy="552450"/>
        </a:xfrm>
        <a:prstGeom prst="ellipse">
          <a:avLst/>
        </a:prstGeom>
        <a:gradFill rotWithShape="1">
          <a:gsLst>
            <a:gs pos="0">
              <a:srgbClr val="CCCCFF"/>
            </a:gs>
            <a:gs pos="17999">
              <a:srgbClr val="99CCFF"/>
            </a:gs>
            <a:gs pos="36000">
              <a:srgbClr val="9966FF"/>
            </a:gs>
            <a:gs pos="61000">
              <a:srgbClr val="CC99FF"/>
            </a:gs>
            <a:gs pos="82001">
              <a:srgbClr val="99CCFF"/>
            </a:gs>
            <a:gs pos="100000">
              <a:srgbClr val="CCCCFF"/>
            </a:gs>
          </a:gsLst>
          <a:lin ang="2700000" scaled="1"/>
        </a:gradFill>
        <a:ln w="9525" cmpd="sng">
          <a:noFill/>
        </a:ln>
      </xdr:spPr>
      <xdr:txBody>
        <a:bodyPr vertOverflow="clip" wrap="square" lIns="91440" tIns="45720" rIns="91440" bIns="45720" anchor="ctr"/>
        <a:p>
          <a:pPr algn="ctr">
            <a:defRPr/>
          </a:pPr>
          <a:r>
            <a:rPr lang="en-US" cap="none" sz="1200" b="1" i="0" u="none" baseline="0">
              <a:solidFill>
                <a:srgbClr val="000000"/>
              </a:solidFill>
              <a:latin typeface="Calibri"/>
              <a:ea typeface="Calibri"/>
              <a:cs typeface="Calibri"/>
            </a:rPr>
            <a:t>Proceeding</a:t>
          </a:r>
        </a:p>
      </xdr:txBody>
    </xdr:sp>
    <xdr:clientData/>
  </xdr:twoCellAnchor>
  <xdr:twoCellAnchor>
    <xdr:from>
      <xdr:col>13</xdr:col>
      <xdr:colOff>190500</xdr:colOff>
      <xdr:row>2</xdr:row>
      <xdr:rowOff>123825</xdr:rowOff>
    </xdr:from>
    <xdr:to>
      <xdr:col>15</xdr:col>
      <xdr:colOff>304800</xdr:colOff>
      <xdr:row>4</xdr:row>
      <xdr:rowOff>104775</xdr:rowOff>
    </xdr:to>
    <xdr:sp>
      <xdr:nvSpPr>
        <xdr:cNvPr id="2" name="Oval 2">
          <a:hlinkClick r:id="rId2"/>
        </xdr:cNvPr>
        <xdr:cNvSpPr>
          <a:spLocks/>
        </xdr:cNvSpPr>
      </xdr:nvSpPr>
      <xdr:spPr>
        <a:xfrm>
          <a:off x="9372600" y="762000"/>
          <a:ext cx="1276350" cy="552450"/>
        </a:xfrm>
        <a:prstGeom prst="ellipse">
          <a:avLst/>
        </a:prstGeom>
        <a:ln w="9525" cmpd="sng">
          <a:noFill/>
        </a:ln>
      </xdr:spPr>
      <xdr:txBody>
        <a:bodyPr vertOverflow="clip" wrap="square" lIns="91440" tIns="45720" rIns="91440" bIns="45720" anchor="ctr"/>
        <a:p>
          <a:pPr algn="ctr">
            <a:defRPr/>
          </a:pPr>
          <a:r>
            <a:rPr lang="en-US" cap="none" sz="1400" b="0" i="0" u="none" baseline="0">
              <a:solidFill>
                <a:srgbClr val="000000"/>
              </a:solidFill>
              <a:latin typeface="Calibri"/>
              <a:ea typeface="Calibri"/>
              <a:cs typeface="Calibri"/>
            </a:rPr>
            <a:t>Bill</a:t>
          </a:r>
        </a:p>
      </xdr:txBody>
    </xdr:sp>
    <xdr:clientData/>
  </xdr:twoCellAnchor>
  <xdr:twoCellAnchor>
    <xdr:from>
      <xdr:col>13</xdr:col>
      <xdr:colOff>161925</xdr:colOff>
      <xdr:row>14</xdr:row>
      <xdr:rowOff>114300</xdr:rowOff>
    </xdr:from>
    <xdr:to>
      <xdr:col>15</xdr:col>
      <xdr:colOff>276225</xdr:colOff>
      <xdr:row>16</xdr:row>
      <xdr:rowOff>95250</xdr:rowOff>
    </xdr:to>
    <xdr:sp>
      <xdr:nvSpPr>
        <xdr:cNvPr id="3" name="Oval 3">
          <a:hlinkClick r:id="rId3"/>
        </xdr:cNvPr>
        <xdr:cNvSpPr>
          <a:spLocks/>
        </xdr:cNvSpPr>
      </xdr:nvSpPr>
      <xdr:spPr>
        <a:xfrm>
          <a:off x="9344025" y="4219575"/>
          <a:ext cx="1276350" cy="552450"/>
        </a:xfrm>
        <a:prstGeom prst="ellipse">
          <a:avLst/>
        </a:prstGeom>
        <a:gradFill rotWithShape="1">
          <a:gsLst>
            <a:gs pos="0">
              <a:srgbClr val="FBEAC7"/>
            </a:gs>
            <a:gs pos="17999">
              <a:srgbClr val="FEE7F2"/>
            </a:gs>
            <a:gs pos="36000">
              <a:srgbClr val="FAC77D"/>
            </a:gs>
            <a:gs pos="61000">
              <a:srgbClr val="FBA97D"/>
            </a:gs>
            <a:gs pos="82001">
              <a:srgbClr val="FBD49C"/>
            </a:gs>
            <a:gs pos="100000">
              <a:srgbClr val="FEE7F2"/>
            </a:gs>
          </a:gsLst>
          <a:lin ang="0" scaled="1"/>
        </a:gradFill>
        <a:ln w="9525" cmpd="sng">
          <a:noFill/>
        </a:ln>
      </xdr:spPr>
      <xdr:txBody>
        <a:bodyPr vertOverflow="clip" wrap="square" lIns="91440" tIns="45720" rIns="91440" bIns="45720" anchor="ctr"/>
        <a:p>
          <a:pPr algn="ctr">
            <a:defRPr/>
          </a:pPr>
          <a:r>
            <a:rPr lang="en-US" cap="none" sz="1100" b="1" i="0" u="none" baseline="0">
              <a:solidFill>
                <a:srgbClr val="000000"/>
              </a:solidFill>
              <a:latin typeface="Calibri"/>
              <a:ea typeface="Calibri"/>
              <a:cs typeface="Calibri"/>
            </a:rPr>
            <a:t>P.Tax</a:t>
          </a:r>
        </a:p>
      </xdr:txBody>
    </xdr:sp>
    <xdr:clientData/>
  </xdr:twoCellAnchor>
  <xdr:twoCellAnchor>
    <xdr:from>
      <xdr:col>13</xdr:col>
      <xdr:colOff>180975</xdr:colOff>
      <xdr:row>4</xdr:row>
      <xdr:rowOff>247650</xdr:rowOff>
    </xdr:from>
    <xdr:to>
      <xdr:col>15</xdr:col>
      <xdr:colOff>295275</xdr:colOff>
      <xdr:row>6</xdr:row>
      <xdr:rowOff>228600</xdr:rowOff>
    </xdr:to>
    <xdr:sp>
      <xdr:nvSpPr>
        <xdr:cNvPr id="4" name="Oval 4">
          <a:hlinkClick r:id="rId4"/>
        </xdr:cNvPr>
        <xdr:cNvSpPr>
          <a:spLocks/>
        </xdr:cNvSpPr>
      </xdr:nvSpPr>
      <xdr:spPr>
        <a:xfrm>
          <a:off x="9363075" y="1457325"/>
          <a:ext cx="1276350" cy="552450"/>
        </a:xfrm>
        <a:prstGeom prst="ellipse">
          <a:avLst/>
        </a:prstGeom>
        <a:gradFill rotWithShape="1">
          <a:gsLst>
            <a:gs pos="0">
              <a:srgbClr val="5E9EFF"/>
            </a:gs>
            <a:gs pos="39999">
              <a:srgbClr val="85C2FF"/>
            </a:gs>
            <a:gs pos="70000">
              <a:srgbClr val="C4D6EB"/>
            </a:gs>
            <a:gs pos="100000">
              <a:srgbClr val="FFEBFA"/>
            </a:gs>
          </a:gsLst>
          <a:lin ang="5400000" scaled="1"/>
        </a:gradFill>
        <a:ln w="9525" cmpd="sng">
          <a:noFill/>
        </a:ln>
      </xdr:spPr>
      <xdr:txBody>
        <a:bodyPr vertOverflow="clip" wrap="square" lIns="91440" tIns="45720" rIns="91440" bIns="45720" anchor="ctr"/>
        <a:p>
          <a:pPr algn="ctr">
            <a:defRPr/>
          </a:pPr>
          <a:r>
            <a:rPr lang="en-US" cap="none" sz="1100" b="1" i="0" u="none" baseline="0">
              <a:latin typeface="Calibri"/>
              <a:ea typeface="Calibri"/>
              <a:cs typeface="Calibri"/>
            </a:rPr>
            <a:t>APTC 47</a:t>
          </a:r>
        </a:p>
      </xdr:txBody>
    </xdr:sp>
    <xdr:clientData/>
  </xdr:twoCellAnchor>
  <xdr:twoCellAnchor>
    <xdr:from>
      <xdr:col>13</xdr:col>
      <xdr:colOff>219075</xdr:colOff>
      <xdr:row>7</xdr:row>
      <xdr:rowOff>76200</xdr:rowOff>
    </xdr:from>
    <xdr:to>
      <xdr:col>15</xdr:col>
      <xdr:colOff>333375</xdr:colOff>
      <xdr:row>9</xdr:row>
      <xdr:rowOff>57150</xdr:rowOff>
    </xdr:to>
    <xdr:sp>
      <xdr:nvSpPr>
        <xdr:cNvPr id="5" name="Oval 5">
          <a:hlinkClick r:id="rId5"/>
        </xdr:cNvPr>
        <xdr:cNvSpPr>
          <a:spLocks/>
        </xdr:cNvSpPr>
      </xdr:nvSpPr>
      <xdr:spPr>
        <a:xfrm>
          <a:off x="9401175" y="2143125"/>
          <a:ext cx="1276350" cy="552450"/>
        </a:xfrm>
        <a:prstGeom prst="ellipse">
          <a:avLst/>
        </a:prstGeom>
        <a:gradFill rotWithShape="1">
          <a:gsLst>
            <a:gs pos="0">
              <a:srgbClr val="FF3399"/>
            </a:gs>
            <a:gs pos="25000">
              <a:srgbClr val="FF6633"/>
            </a:gs>
            <a:gs pos="50000">
              <a:srgbClr val="FFFF00"/>
            </a:gs>
            <a:gs pos="75000">
              <a:srgbClr val="01A78F"/>
            </a:gs>
            <a:gs pos="100000">
              <a:srgbClr val="3366FF"/>
            </a:gs>
          </a:gsLst>
          <a:lin ang="2700000" scaled="1"/>
        </a:gradFill>
        <a:ln w="9525" cmpd="sng">
          <a:noFill/>
        </a:ln>
      </xdr:spPr>
      <xdr:txBody>
        <a:bodyPr vertOverflow="clip" wrap="square" lIns="91440" tIns="45720" rIns="91440" bIns="45720" anchor="ctr"/>
        <a:p>
          <a:pPr algn="ctr">
            <a:defRPr/>
          </a:pPr>
          <a:r>
            <a:rPr lang="en-US" cap="none" sz="1100" b="1" i="0" u="none" baseline="0">
              <a:solidFill>
                <a:srgbClr val="FFFFCC"/>
              </a:solidFill>
              <a:latin typeface="Calibri"/>
              <a:ea typeface="Calibri"/>
              <a:cs typeface="Calibri"/>
            </a:rPr>
            <a:t>BACK</a:t>
          </a:r>
          <a:r>
            <a:rPr lang="en-US" cap="none" sz="1100" b="1" i="0" u="none" baseline="0">
              <a:solidFill>
                <a:srgbClr val="FFFFCC"/>
              </a:solidFill>
              <a:latin typeface="Calibri"/>
              <a:ea typeface="Calibri"/>
              <a:cs typeface="Calibri"/>
            </a:rPr>
            <a:t> 47</a:t>
          </a:r>
        </a:p>
      </xdr:txBody>
    </xdr:sp>
    <xdr:clientData/>
  </xdr:twoCellAnchor>
  <xdr:twoCellAnchor>
    <xdr:from>
      <xdr:col>13</xdr:col>
      <xdr:colOff>161925</xdr:colOff>
      <xdr:row>9</xdr:row>
      <xdr:rowOff>200025</xdr:rowOff>
    </xdr:from>
    <xdr:to>
      <xdr:col>15</xdr:col>
      <xdr:colOff>276225</xdr:colOff>
      <xdr:row>11</xdr:row>
      <xdr:rowOff>142875</xdr:rowOff>
    </xdr:to>
    <xdr:sp>
      <xdr:nvSpPr>
        <xdr:cNvPr id="6" name="Oval 6">
          <a:hlinkClick r:id="rId6"/>
        </xdr:cNvPr>
        <xdr:cNvSpPr>
          <a:spLocks/>
        </xdr:cNvSpPr>
      </xdr:nvSpPr>
      <xdr:spPr>
        <a:xfrm>
          <a:off x="9344025" y="2838450"/>
          <a:ext cx="1276350" cy="552450"/>
        </a:xfrm>
        <a:prstGeom prst="ellipse">
          <a:avLst/>
        </a:prstGeom>
        <a:ln w="9525" cmpd="sng">
          <a:noFill/>
        </a:ln>
      </xdr:spPr>
      <xdr:txBody>
        <a:bodyPr vertOverflow="clip" wrap="square" lIns="91440" tIns="45720" rIns="91440" bIns="45720" anchor="ctr"/>
        <a:p>
          <a:pPr algn="ctr">
            <a:defRPr/>
          </a:pPr>
          <a:r>
            <a:rPr lang="en-US" cap="none" sz="1100" b="1" i="0" u="none" baseline="0">
              <a:solidFill>
                <a:srgbClr val="008000"/>
              </a:solidFill>
              <a:latin typeface="Calibri"/>
              <a:ea typeface="Calibri"/>
              <a:cs typeface="Calibri"/>
            </a:rPr>
            <a:t>Paper Token &amp; 101</a:t>
          </a:r>
        </a:p>
      </xdr:txBody>
    </xdr:sp>
    <xdr:clientData/>
  </xdr:twoCellAnchor>
  <xdr:twoCellAnchor>
    <xdr:from>
      <xdr:col>13</xdr:col>
      <xdr:colOff>152400</xdr:colOff>
      <xdr:row>11</xdr:row>
      <xdr:rowOff>257175</xdr:rowOff>
    </xdr:from>
    <xdr:to>
      <xdr:col>15</xdr:col>
      <xdr:colOff>266700</xdr:colOff>
      <xdr:row>13</xdr:row>
      <xdr:rowOff>238125</xdr:rowOff>
    </xdr:to>
    <xdr:sp>
      <xdr:nvSpPr>
        <xdr:cNvPr id="7" name="Oval 7">
          <a:hlinkClick r:id="rId7"/>
        </xdr:cNvPr>
        <xdr:cNvSpPr>
          <a:spLocks/>
        </xdr:cNvSpPr>
      </xdr:nvSpPr>
      <xdr:spPr>
        <a:xfrm>
          <a:off x="9334500" y="3505200"/>
          <a:ext cx="1276350" cy="552450"/>
        </a:xfrm>
        <a:prstGeom prst="ellipse">
          <a:avLst/>
        </a:prstGeom>
        <a:ln w="9525" cmpd="sng">
          <a:noFill/>
        </a:ln>
      </xdr:spPr>
      <xdr:txBody>
        <a:bodyPr vertOverflow="clip" wrap="square" lIns="91440" tIns="45720" rIns="91440" bIns="45720" anchor="ctr"/>
        <a:p>
          <a:pPr algn="ctr">
            <a:defRPr/>
          </a:pPr>
          <a:r>
            <a:rPr lang="en-US" cap="none" sz="1100" b="1" i="0" u="none" baseline="0">
              <a:latin typeface="Calibri"/>
              <a:ea typeface="Calibri"/>
              <a:cs typeface="Calibri"/>
            </a:rPr>
            <a:t>Annexure  
</a:t>
          </a:r>
          <a:r>
            <a:rPr lang="en-US" cap="none" sz="1100" b="1" i="0" u="none" baseline="0">
              <a:latin typeface="Calibri"/>
              <a:ea typeface="Calibri"/>
              <a:cs typeface="Calibri"/>
            </a:rPr>
            <a:t>1 &amp; 2</a:t>
          </a:r>
        </a:p>
      </xdr:txBody>
    </xdr:sp>
    <xdr:clientData/>
  </xdr:twoCellAnchor>
  <xdr:twoCellAnchor>
    <xdr:from>
      <xdr:col>16</xdr:col>
      <xdr:colOff>19050</xdr:colOff>
      <xdr:row>0</xdr:row>
      <xdr:rowOff>0</xdr:rowOff>
    </xdr:from>
    <xdr:to>
      <xdr:col>0</xdr:col>
      <xdr:colOff>19050</xdr:colOff>
      <xdr:row>9750</xdr:row>
      <xdr:rowOff>180975</xdr:rowOff>
    </xdr:to>
    <xdr:sp>
      <xdr:nvSpPr>
        <xdr:cNvPr id="8" name="Rectangle 9"/>
        <xdr:cNvSpPr>
          <a:spLocks/>
        </xdr:cNvSpPr>
      </xdr:nvSpPr>
      <xdr:spPr>
        <a:xfrm>
          <a:off x="10829925" y="0"/>
          <a:ext cx="0" cy="18371343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3</xdr:row>
      <xdr:rowOff>9525</xdr:rowOff>
    </xdr:from>
    <xdr:to>
      <xdr:col>5</xdr:col>
      <xdr:colOff>19050</xdr:colOff>
      <xdr:row>5</xdr:row>
      <xdr:rowOff>200025</xdr:rowOff>
    </xdr:to>
    <xdr:sp>
      <xdr:nvSpPr>
        <xdr:cNvPr id="9" name="Down Arrow 10"/>
        <xdr:cNvSpPr>
          <a:spLocks/>
        </xdr:cNvSpPr>
      </xdr:nvSpPr>
      <xdr:spPr>
        <a:xfrm>
          <a:off x="3009900" y="933450"/>
          <a:ext cx="19050" cy="762000"/>
        </a:xfrm>
        <a:prstGeom prst="downArrow">
          <a:avLst>
            <a:gd name="adj" fmla="val 32759"/>
          </a:avLst>
        </a:prstGeom>
        <a:solidFill>
          <a:srgbClr val="7030A0"/>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0</xdr:row>
      <xdr:rowOff>0</xdr:rowOff>
    </xdr:from>
    <xdr:to>
      <xdr:col>0</xdr:col>
      <xdr:colOff>19050</xdr:colOff>
      <xdr:row>9750</xdr:row>
      <xdr:rowOff>180975</xdr:rowOff>
    </xdr:to>
    <xdr:sp>
      <xdr:nvSpPr>
        <xdr:cNvPr id="10" name="Rectangle 12"/>
        <xdr:cNvSpPr>
          <a:spLocks/>
        </xdr:cNvSpPr>
      </xdr:nvSpPr>
      <xdr:spPr>
        <a:xfrm>
          <a:off x="10829925" y="0"/>
          <a:ext cx="0" cy="1837134375"/>
        </a:xfrm>
        <a:prstGeom prst="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11</xdr:col>
      <xdr:colOff>666750</xdr:colOff>
      <xdr:row>1</xdr:row>
      <xdr:rowOff>47625</xdr:rowOff>
    </xdr:from>
    <xdr:to>
      <xdr:col>13</xdr:col>
      <xdr:colOff>0</xdr:colOff>
      <xdr:row>7</xdr:row>
      <xdr:rowOff>161925</xdr:rowOff>
    </xdr:to>
    <xdr:pic>
      <xdr:nvPicPr>
        <xdr:cNvPr id="11" name="Picture 17" descr="IMG_20130108_151118.jpg"/>
        <xdr:cNvPicPr preferRelativeResize="1">
          <a:picLocks noChangeAspect="1"/>
        </xdr:cNvPicPr>
      </xdr:nvPicPr>
      <xdr:blipFill>
        <a:blip r:embed="rId8"/>
        <a:stretch>
          <a:fillRect/>
        </a:stretch>
      </xdr:blipFill>
      <xdr:spPr>
        <a:xfrm>
          <a:off x="7820025" y="400050"/>
          <a:ext cx="1362075" cy="1828800"/>
        </a:xfrm>
        <a:prstGeom prst="rect">
          <a:avLst/>
        </a:prstGeom>
        <a:noFill/>
        <a:ln w="9525" cmpd="sng">
          <a:noFill/>
        </a:ln>
      </xdr:spPr>
    </xdr:pic>
    <xdr:clientData/>
  </xdr:twoCellAnchor>
  <xdr:twoCellAnchor>
    <xdr:from>
      <xdr:col>12</xdr:col>
      <xdr:colOff>28575</xdr:colOff>
      <xdr:row>11</xdr:row>
      <xdr:rowOff>190500</xdr:rowOff>
    </xdr:from>
    <xdr:to>
      <xdr:col>12</xdr:col>
      <xdr:colOff>180975</xdr:colOff>
      <xdr:row>13</xdr:row>
      <xdr:rowOff>85725</xdr:rowOff>
    </xdr:to>
    <xdr:sp>
      <xdr:nvSpPr>
        <xdr:cNvPr id="12" name="Down Arrow 13"/>
        <xdr:cNvSpPr>
          <a:spLocks/>
        </xdr:cNvSpPr>
      </xdr:nvSpPr>
      <xdr:spPr>
        <a:xfrm>
          <a:off x="7896225" y="3438525"/>
          <a:ext cx="152400" cy="466725"/>
        </a:xfrm>
        <a:prstGeom prst="downArrow">
          <a:avLst>
            <a:gd name="adj" fmla="val 33671"/>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628650</xdr:colOff>
      <xdr:row>13</xdr:row>
      <xdr:rowOff>19050</xdr:rowOff>
    </xdr:from>
    <xdr:to>
      <xdr:col>12</xdr:col>
      <xdr:colOff>628650</xdr:colOff>
      <xdr:row>14</xdr:row>
      <xdr:rowOff>9525</xdr:rowOff>
    </xdr:to>
    <xdr:sp>
      <xdr:nvSpPr>
        <xdr:cNvPr id="13" name="Straight Connector 16"/>
        <xdr:cNvSpPr>
          <a:spLocks/>
        </xdr:cNvSpPr>
      </xdr:nvSpPr>
      <xdr:spPr>
        <a:xfrm rot="5400000" flipH="1" flipV="1">
          <a:off x="8496300" y="3838575"/>
          <a:ext cx="0" cy="276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10</xdr:row>
      <xdr:rowOff>152400</xdr:rowOff>
    </xdr:from>
    <xdr:to>
      <xdr:col>10</xdr:col>
      <xdr:colOff>504825</xdr:colOff>
      <xdr:row>10</xdr:row>
      <xdr:rowOff>161925</xdr:rowOff>
    </xdr:to>
    <xdr:sp>
      <xdr:nvSpPr>
        <xdr:cNvPr id="14" name="Straight Arrow Connector 21"/>
        <xdr:cNvSpPr>
          <a:spLocks/>
        </xdr:cNvSpPr>
      </xdr:nvSpPr>
      <xdr:spPr>
        <a:xfrm flipV="1">
          <a:off x="6581775" y="3114675"/>
          <a:ext cx="476250" cy="9525"/>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1</xdr:row>
      <xdr:rowOff>66675</xdr:rowOff>
    </xdr:from>
    <xdr:to>
      <xdr:col>29</xdr:col>
      <xdr:colOff>228600</xdr:colOff>
      <xdr:row>3</xdr:row>
      <xdr:rowOff>485775</xdr:rowOff>
    </xdr:to>
    <xdr:sp>
      <xdr:nvSpPr>
        <xdr:cNvPr id="1" name="Oval Callout 1"/>
        <xdr:cNvSpPr>
          <a:spLocks/>
        </xdr:cNvSpPr>
      </xdr:nvSpPr>
      <xdr:spPr>
        <a:xfrm>
          <a:off x="10410825" y="257175"/>
          <a:ext cx="1981200" cy="952500"/>
        </a:xfrm>
        <a:prstGeom prst="wedgeEllipseCallout">
          <a:avLst>
            <a:gd name="adj1" fmla="val -67796"/>
            <a:gd name="adj2" fmla="val 59703"/>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91440" tIns="45720" rIns="91440" bIns="45720" anchor="ctr"/>
        <a:p>
          <a:pPr algn="ctr">
            <a:defRPr/>
          </a:pPr>
          <a:r>
            <a:rPr lang="en-US" cap="none" sz="1200" b="1" i="0" u="none" baseline="0">
              <a:latin typeface="Calibri"/>
              <a:ea typeface="Calibri"/>
              <a:cs typeface="Calibri"/>
            </a:rPr>
            <a:t>Any differances in Bill table Edit any cell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57</xdr:row>
      <xdr:rowOff>85725</xdr:rowOff>
    </xdr:from>
    <xdr:to>
      <xdr:col>3</xdr:col>
      <xdr:colOff>76200</xdr:colOff>
      <xdr:row>60</xdr:row>
      <xdr:rowOff>19050</xdr:rowOff>
    </xdr:to>
    <xdr:sp>
      <xdr:nvSpPr>
        <xdr:cNvPr id="1" name="Oval 1"/>
        <xdr:cNvSpPr>
          <a:spLocks/>
        </xdr:cNvSpPr>
      </xdr:nvSpPr>
      <xdr:spPr>
        <a:xfrm>
          <a:off x="447675" y="10229850"/>
          <a:ext cx="723900" cy="5048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NBST/Bank   Seal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38</xdr:row>
      <xdr:rowOff>0</xdr:rowOff>
    </xdr:from>
    <xdr:to>
      <xdr:col>1</xdr:col>
      <xdr:colOff>85725</xdr:colOff>
      <xdr:row>41</xdr:row>
      <xdr:rowOff>66675</xdr:rowOff>
    </xdr:to>
    <xdr:sp>
      <xdr:nvSpPr>
        <xdr:cNvPr id="1" name="Oval 4"/>
        <xdr:cNvSpPr>
          <a:spLocks/>
        </xdr:cNvSpPr>
      </xdr:nvSpPr>
      <xdr:spPr>
        <a:xfrm>
          <a:off x="114300" y="6915150"/>
          <a:ext cx="647700"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D.D.O.
</a:t>
          </a:r>
          <a:r>
            <a:rPr lang="en-US" cap="none" sz="1000" b="0" i="0" u="none" baseline="0">
              <a:solidFill>
                <a:srgbClr val="000000"/>
              </a:solidFill>
            </a:rPr>
            <a:t>Seal</a:t>
          </a:r>
        </a:p>
      </xdr:txBody>
    </xdr:sp>
    <xdr:clientData/>
  </xdr:twoCellAnchor>
  <xdr:twoCellAnchor>
    <xdr:from>
      <xdr:col>15</xdr:col>
      <xdr:colOff>38100</xdr:colOff>
      <xdr:row>37</xdr:row>
      <xdr:rowOff>66675</xdr:rowOff>
    </xdr:from>
    <xdr:to>
      <xdr:col>18</xdr:col>
      <xdr:colOff>19050</xdr:colOff>
      <xdr:row>41</xdr:row>
      <xdr:rowOff>95250</xdr:rowOff>
    </xdr:to>
    <xdr:sp>
      <xdr:nvSpPr>
        <xdr:cNvPr id="2" name="Oval 2"/>
        <xdr:cNvSpPr>
          <a:spLocks/>
        </xdr:cNvSpPr>
      </xdr:nvSpPr>
      <xdr:spPr>
        <a:xfrm>
          <a:off x="3829050" y="6791325"/>
          <a:ext cx="800100" cy="7905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Treasury Seal</a:t>
          </a:r>
        </a:p>
      </xdr:txBody>
    </xdr:sp>
    <xdr:clientData/>
  </xdr:twoCellAnchor>
  <xdr:twoCellAnchor>
    <xdr:from>
      <xdr:col>25</xdr:col>
      <xdr:colOff>9525</xdr:colOff>
      <xdr:row>37</xdr:row>
      <xdr:rowOff>47625</xdr:rowOff>
    </xdr:from>
    <xdr:to>
      <xdr:col>27</xdr:col>
      <xdr:colOff>123825</xdr:colOff>
      <xdr:row>41</xdr:row>
      <xdr:rowOff>76200</xdr:rowOff>
    </xdr:to>
    <xdr:sp>
      <xdr:nvSpPr>
        <xdr:cNvPr id="3" name="Oval 6"/>
        <xdr:cNvSpPr>
          <a:spLocks/>
        </xdr:cNvSpPr>
      </xdr:nvSpPr>
      <xdr:spPr>
        <a:xfrm>
          <a:off x="6343650" y="6772275"/>
          <a:ext cx="628650" cy="790575"/>
        </a:xfrm>
        <a:prstGeom prst="ellipse">
          <a:avLst/>
        </a:prstGeom>
        <a:solidFill>
          <a:srgbClr val="FFFFFF"/>
        </a:solidFill>
        <a:ln w="12700" cmpd="sng">
          <a:solidFill>
            <a:srgbClr val="000000"/>
          </a:solidFill>
          <a:headEnd type="none"/>
          <a:tailEnd type="none"/>
        </a:ln>
      </xdr:spPr>
      <xdr:txBody>
        <a:bodyPr vertOverflow="clip" wrap="square" lIns="91440" tIns="45720" rIns="91440" bIns="45720" anchor="ctr"/>
        <a:p>
          <a:pPr algn="ctr">
            <a:defRPr/>
          </a:pPr>
          <a:r>
            <a:rPr lang="en-US" cap="none" sz="1050" b="0" i="0" u="none" baseline="0">
              <a:solidFill>
                <a:srgbClr val="000000"/>
              </a:solidFill>
              <a:latin typeface="Calibri"/>
              <a:ea typeface="Calibri"/>
              <a:cs typeface="Calibri"/>
            </a:rPr>
            <a:t>DDOSeal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as_software_new%20ST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LOCALS~1\Temp\Documents%20and%20Settings\Pooji\Desktop\ORIGINAL%20BILL(not%20modifi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as_software_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f"/>
      <sheetName val=" "/>
      <sheetName val="Proc"/>
      <sheetName val="ap471"/>
      <sheetName val="bill"/>
      <sheetName val="ap472"/>
      <sheetName val="bank"/>
      <sheetName val="zppf"/>
      <sheetName val="css&amp;Gpf"/>
      <sheetName val="cps"/>
      <sheetName val="ptax"/>
      <sheetName val="ptok"/>
      <sheetName val="words"/>
      <sheetName val="scl"/>
    </sheetNames>
    <sheetDataSet>
      <sheetData sheetId="2">
        <row r="21">
          <cell r="BN21">
            <v>1</v>
          </cell>
          <cell r="BO21" t="str">
            <v>M.P.P.S</v>
          </cell>
          <cell r="BP21" t="str">
            <v>Z.P.H.S PEDDAKADABUR, PEDDAKADABUR (M), KURNOOL</v>
          </cell>
          <cell r="BQ21">
            <v>0</v>
          </cell>
          <cell r="BR21">
            <v>1</v>
          </cell>
          <cell r="BS21" t="str">
            <v>Elementary Education</v>
          </cell>
          <cell r="BT21">
            <v>1</v>
          </cell>
          <cell r="BU21">
            <v>0</v>
          </cell>
          <cell r="BV21">
            <v>3</v>
          </cell>
          <cell r="BW21" t="str">
            <v>Assistance to Local Bodies For Primary Education</v>
          </cell>
          <cell r="BX21">
            <v>0</v>
          </cell>
          <cell r="BY21">
            <v>5</v>
          </cell>
          <cell r="BZ21" t="str">
            <v>Teaching Grants To MP</v>
          </cell>
        </row>
        <row r="22">
          <cell r="BN22">
            <v>2</v>
          </cell>
          <cell r="BO22" t="str">
            <v>M.P.U.P.S</v>
          </cell>
          <cell r="BP22" t="str">
            <v>Z.P.H.S PEDDAKADABUR, PEDDAKADABUR (M), KURNOOL</v>
          </cell>
          <cell r="BQ22">
            <v>0</v>
          </cell>
          <cell r="BR22">
            <v>1</v>
          </cell>
          <cell r="BS22" t="str">
            <v>Elementary Education</v>
          </cell>
          <cell r="BT22">
            <v>1</v>
          </cell>
          <cell r="BU22">
            <v>0</v>
          </cell>
          <cell r="BV22">
            <v>3</v>
          </cell>
          <cell r="BW22" t="str">
            <v>Assistance to Local Bodies For Primary Education</v>
          </cell>
          <cell r="BX22">
            <v>0</v>
          </cell>
          <cell r="BY22">
            <v>5</v>
          </cell>
          <cell r="BZ22" t="str">
            <v>Teaching Grants To MP</v>
          </cell>
        </row>
        <row r="23">
          <cell r="BN23">
            <v>3</v>
          </cell>
          <cell r="BO23" t="str">
            <v>Z.P.H.S</v>
          </cell>
          <cell r="BP23" t="str">
            <v>Z.P.H.S PEDDAKADABUR, PEDDAKADABUR (M), KURNOOL</v>
          </cell>
          <cell r="BQ23">
            <v>0</v>
          </cell>
          <cell r="BR23">
            <v>2</v>
          </cell>
          <cell r="BS23" t="str">
            <v>Secondary Education</v>
          </cell>
          <cell r="BT23">
            <v>1</v>
          </cell>
          <cell r="BU23">
            <v>9</v>
          </cell>
          <cell r="BV23">
            <v>1</v>
          </cell>
          <cell r="BW23" t="str">
            <v>Assistance to Local Bodies For Secondary Education</v>
          </cell>
          <cell r="BX23">
            <v>0</v>
          </cell>
          <cell r="BY23">
            <v>5</v>
          </cell>
          <cell r="BZ23" t="str">
            <v>Teaching Grants To ZP</v>
          </cell>
        </row>
        <row r="24">
          <cell r="BN24">
            <v>4</v>
          </cell>
          <cell r="BO24" t="str">
            <v>GOVT.PS</v>
          </cell>
          <cell r="BP24" t="str">
            <v>Z.P.H.S PEDDAKADABUR, PEDDAKADABUR (M), KURNOOL</v>
          </cell>
          <cell r="BQ24">
            <v>0</v>
          </cell>
          <cell r="BR24">
            <v>1</v>
          </cell>
          <cell r="BS24" t="str">
            <v>Elementary Education</v>
          </cell>
          <cell r="BT24">
            <v>1</v>
          </cell>
          <cell r="BU24">
            <v>0</v>
          </cell>
          <cell r="BV24">
            <v>1</v>
          </cell>
          <cell r="BW24" t="str">
            <v>Govt. Primary Schools</v>
          </cell>
          <cell r="BX24">
            <v>0</v>
          </cell>
          <cell r="BY24">
            <v>4</v>
          </cell>
          <cell r="BZ24" t="str">
            <v>Govt. Primary Schools</v>
          </cell>
        </row>
        <row r="25">
          <cell r="BN25">
            <v>5</v>
          </cell>
          <cell r="BO25" t="str">
            <v>GOVT.UPS</v>
          </cell>
          <cell r="BP25" t="str">
            <v>Z.P.H.S PEDDAKADABUR, PEDDAKADABUR (M), KURNOOL</v>
          </cell>
          <cell r="BQ25">
            <v>0</v>
          </cell>
          <cell r="BR25">
            <v>1</v>
          </cell>
          <cell r="BS25" t="str">
            <v>Elementary Education</v>
          </cell>
          <cell r="BT25">
            <v>1</v>
          </cell>
          <cell r="BU25">
            <v>0</v>
          </cell>
          <cell r="BV25">
            <v>1</v>
          </cell>
          <cell r="BW25" t="str">
            <v>Govt. Primary Schools</v>
          </cell>
          <cell r="BX25">
            <v>0</v>
          </cell>
          <cell r="BY25">
            <v>4</v>
          </cell>
          <cell r="BZ25" t="str">
            <v>Govt. Primary Schools</v>
          </cell>
        </row>
        <row r="26">
          <cell r="BN26">
            <v>6</v>
          </cell>
          <cell r="BO26" t="str">
            <v>GOVT. HS</v>
          </cell>
          <cell r="BP26" t="str">
            <v>Z.P.H.S PEDDAKADABUR, PEDDAKADABUR (M), KURNOOL</v>
          </cell>
          <cell r="BQ26">
            <v>0</v>
          </cell>
          <cell r="BR26">
            <v>2</v>
          </cell>
          <cell r="BS26" t="str">
            <v>Secondary Education</v>
          </cell>
          <cell r="BT26">
            <v>1</v>
          </cell>
          <cell r="BU26">
            <v>0</v>
          </cell>
          <cell r="BV26">
            <v>9</v>
          </cell>
          <cell r="BW26" t="str">
            <v>Govt. Secondary Schools</v>
          </cell>
          <cell r="BX26">
            <v>0</v>
          </cell>
          <cell r="BY26">
            <v>4</v>
          </cell>
          <cell r="BZ26" t="str">
            <v>Govt. Secondary Schools</v>
          </cell>
        </row>
        <row r="27">
          <cell r="BN27">
            <v>7</v>
          </cell>
          <cell r="BO27" t="str">
            <v>MPL.PS</v>
          </cell>
          <cell r="BP27" t="str">
            <v>Z.P.H.S PEDDAKADABUR, PEDDAKADABUR (M), KURNOOL</v>
          </cell>
          <cell r="BQ27">
            <v>0</v>
          </cell>
          <cell r="BR27">
            <v>1</v>
          </cell>
          <cell r="BS27" t="str">
            <v>Elementary Education</v>
          </cell>
          <cell r="BT27">
            <v>1</v>
          </cell>
          <cell r="BU27">
            <v>0</v>
          </cell>
          <cell r="BV27">
            <v>3</v>
          </cell>
          <cell r="BW27" t="str">
            <v>Assistance to Local Bodies For Primary Education</v>
          </cell>
          <cell r="BX27">
            <v>0</v>
          </cell>
          <cell r="BY27">
            <v>5</v>
          </cell>
          <cell r="BZ27" t="str">
            <v>Teaching Grants To Local Bodies</v>
          </cell>
        </row>
        <row r="28">
          <cell r="BN28">
            <v>8</v>
          </cell>
          <cell r="BO28" t="str">
            <v>MPL.UPS</v>
          </cell>
          <cell r="BP28" t="str">
            <v>Z.P.H.S PEDDAKADABUR, PEDDAKADABUR (M), KURNOOL</v>
          </cell>
          <cell r="BQ28">
            <v>0</v>
          </cell>
          <cell r="BR28">
            <v>1</v>
          </cell>
          <cell r="BS28" t="str">
            <v>Elementary Education</v>
          </cell>
          <cell r="BT28">
            <v>1</v>
          </cell>
          <cell r="BU28">
            <v>0</v>
          </cell>
          <cell r="BV28">
            <v>3</v>
          </cell>
          <cell r="BW28" t="str">
            <v>Assistance to Local Bodies For Primary Education</v>
          </cell>
          <cell r="BX28">
            <v>0</v>
          </cell>
          <cell r="BY28">
            <v>5</v>
          </cell>
          <cell r="BZ28" t="str">
            <v>Teaching Grants To Local Bodies</v>
          </cell>
        </row>
        <row r="29">
          <cell r="BN29">
            <v>9</v>
          </cell>
          <cell r="BO29" t="str">
            <v>MPL. HS</v>
          </cell>
          <cell r="BP29" t="str">
            <v>Z.P.H.S PEDDAKADABUR, PEDDAKADABUR (M), KURNOOL</v>
          </cell>
          <cell r="BQ29">
            <v>0</v>
          </cell>
          <cell r="BR29">
            <v>2</v>
          </cell>
          <cell r="BS29" t="str">
            <v>Secondary Education</v>
          </cell>
          <cell r="BT29">
            <v>1</v>
          </cell>
          <cell r="BU29">
            <v>9</v>
          </cell>
          <cell r="BV29">
            <v>1</v>
          </cell>
          <cell r="BW29" t="str">
            <v>Assistance to Local Bodies For Secondary Education</v>
          </cell>
          <cell r="BX29">
            <v>0</v>
          </cell>
          <cell r="BY29">
            <v>5</v>
          </cell>
          <cell r="BZ29" t="str">
            <v>Teaching Grants To Local Bodies</v>
          </cell>
        </row>
        <row r="30">
          <cell r="BN30">
            <v>10</v>
          </cell>
          <cell r="BO30">
            <v>0</v>
          </cell>
          <cell r="BP30" t="str">
            <v>Z.P.H.S PEDDAKADABUR, PEDDAKADABUR (M), KURNOOL</v>
          </cell>
          <cell r="BQ30" t="str">
            <v> </v>
          </cell>
          <cell r="BR30" t="str">
            <v> </v>
          </cell>
          <cell r="BS30" t="str">
            <v> </v>
          </cell>
          <cell r="BT30" t="str">
            <v> </v>
          </cell>
          <cell r="BU30" t="str">
            <v> </v>
          </cell>
          <cell r="BV30" t="str">
            <v> </v>
          </cell>
          <cell r="BW30" t="str">
            <v> </v>
          </cell>
          <cell r="BX30" t="str">
            <v> </v>
          </cell>
          <cell r="BY30" t="str">
            <v> </v>
          </cell>
          <cell r="BZ30" t="str">
            <v> </v>
          </cell>
          <cell r="CA30" t="str">
            <v> </v>
          </cell>
        </row>
        <row r="31">
          <cell r="BN31">
            <v>11</v>
          </cell>
          <cell r="BO31">
            <v>0</v>
          </cell>
          <cell r="BP31" t="str">
            <v>Z.P.H.S PEDDAKADABUR, PEDDAKADABUR (M), KURNOOL</v>
          </cell>
          <cell r="BQ31" t="str">
            <v> </v>
          </cell>
          <cell r="BR31" t="str">
            <v> </v>
          </cell>
          <cell r="BS31" t="str">
            <v> </v>
          </cell>
          <cell r="BT31" t="str">
            <v> </v>
          </cell>
          <cell r="BU31" t="str">
            <v> </v>
          </cell>
          <cell r="BV31" t="str">
            <v> </v>
          </cell>
          <cell r="BW31" t="str">
            <v> </v>
          </cell>
          <cell r="BX31" t="str">
            <v> </v>
          </cell>
          <cell r="BY31" t="str">
            <v> </v>
          </cell>
          <cell r="BZ31" t="str">
            <v> </v>
          </cell>
          <cell r="CA31" t="str">
            <v> </v>
          </cell>
        </row>
        <row r="32">
          <cell r="BN32">
            <v>12</v>
          </cell>
          <cell r="BO32">
            <v>0</v>
          </cell>
          <cell r="BP32" t="str">
            <v>Z.P.H.S PEDDAKADABUR, PEDDAKADABUR (M), KURNOOL</v>
          </cell>
          <cell r="BQ32" t="str">
            <v> </v>
          </cell>
          <cell r="BR32" t="str">
            <v> </v>
          </cell>
          <cell r="BS32" t="str">
            <v> </v>
          </cell>
          <cell r="BT32" t="str">
            <v> </v>
          </cell>
          <cell r="BU32" t="str">
            <v> </v>
          </cell>
          <cell r="BV32" t="str">
            <v> </v>
          </cell>
          <cell r="BW32" t="str">
            <v> </v>
          </cell>
          <cell r="BX32" t="str">
            <v> </v>
          </cell>
          <cell r="BY32" t="str">
            <v> </v>
          </cell>
          <cell r="BZ32" t="str">
            <v> </v>
          </cell>
          <cell r="CA32" t="str">
            <v> </v>
          </cell>
        </row>
        <row r="33">
          <cell r="BN33">
            <v>13</v>
          </cell>
          <cell r="BO33">
            <v>0</v>
          </cell>
          <cell r="BP33" t="str">
            <v>Z.P.H.S PEDDAKADABUR, PEDDAKADABUR (M), KURNOOL</v>
          </cell>
          <cell r="BQ33" t="str">
            <v> </v>
          </cell>
          <cell r="BR33" t="str">
            <v> </v>
          </cell>
          <cell r="BS33" t="str">
            <v> </v>
          </cell>
          <cell r="BT33" t="str">
            <v> </v>
          </cell>
          <cell r="BU33" t="str">
            <v> </v>
          </cell>
          <cell r="BV33" t="str">
            <v> </v>
          </cell>
          <cell r="BW33" t="str">
            <v> </v>
          </cell>
          <cell r="BX33" t="str">
            <v> </v>
          </cell>
          <cell r="BY33" t="str">
            <v> </v>
          </cell>
          <cell r="BZ33" t="str">
            <v> </v>
          </cell>
          <cell r="CA33"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 SHEET"/>
      <sheetName val="PAPER"/>
      <sheetName val="101"/>
      <sheetName val="47-FRONT"/>
      <sheetName val="BILL"/>
      <sheetName val="47-BACK"/>
      <sheetName val="A.N-I"/>
      <sheetName val="A.N-II"/>
      <sheetName val="A.N-III"/>
      <sheetName val="A.P.G.L.I"/>
      <sheetName val="A.N-A"/>
      <sheetName val="G.I.S"/>
      <sheetName val="P.T."/>
      <sheetName val="Z.P.P.F"/>
      <sheetName val="FESTI.ADVN."/>
      <sheetName val="EWF"/>
      <sheetName val="CMRF"/>
      <sheetName val="INCRE-NOV"/>
      <sheetName val="49-NOV"/>
      <sheetName val="INCRE-JAN"/>
      <sheetName val="49-JAN"/>
      <sheetName val="INCRE-JULY"/>
      <sheetName val="49-JULY"/>
      <sheetName val="INCRE-AUG"/>
      <sheetName val="49-AUG"/>
      <sheetName val="47-FRO(DA-1)"/>
      <sheetName val="D.A.ARREAR-JULY"/>
      <sheetName val="47-BACK(DA-1)"/>
      <sheetName val="ZPPF(D.A-1)"/>
      <sheetName val="47-FRO(D.A-2)"/>
      <sheetName val="D.A.ARREAR-JAN"/>
      <sheetName val="47-BACK(D.A-2)"/>
      <sheetName val="ZPPF(D.A-2)"/>
      <sheetName val="SALARY CERT."/>
      <sheetName val="G&amp;N"/>
    </sheetNames>
    <sheetDataSet>
      <sheetData sheetId="4">
        <row r="92">
          <cell r="AF9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WORK SHEET"/>
      <sheetName val="P. TOKEN"/>
      <sheetName val="ANNEX-I &amp; II"/>
      <sheetName val="101"/>
      <sheetName val="PROCEEDINGS"/>
      <sheetName val="47-FRONT"/>
      <sheetName val="BILL-NOTIONAL"/>
      <sheetName val="BILL-P.F &amp; CASH"/>
      <sheetName val="BILL"/>
      <sheetName val="47-BUDGET"/>
      <sheetName val="P.F SCHEDULE"/>
      <sheetName val="PT SCHEDULE"/>
      <sheetName val="49-(1P)"/>
      <sheetName val="49-(2P)"/>
      <sheetName val="PREAMBLE"/>
      <sheetName val="Sheet1"/>
      <sheetName val="Sheet2"/>
      <sheetName val="Sheet3"/>
    </sheetNames>
    <sheetDataSet>
      <sheetData sheetId="6">
        <row r="57">
          <cell r="G57" t="str">
            <v>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EI197"/>
  <sheetViews>
    <sheetView showGridLines="0" showRowColHeaders="0" tabSelected="1" zoomScalePageLayoutView="0" workbookViewId="0" topLeftCell="A1">
      <selection activeCell="D11" sqref="D11"/>
    </sheetView>
  </sheetViews>
  <sheetFormatPr defaultColWidth="8.28125" defaultRowHeight="15"/>
  <cols>
    <col min="1" max="1" width="0.2890625" style="0" customWidth="1"/>
    <col min="2" max="3" width="12.7109375" style="0" customWidth="1"/>
    <col min="4" max="4" width="9.7109375" style="0" customWidth="1"/>
    <col min="5" max="5" width="9.7109375" style="1" customWidth="1"/>
    <col min="6" max="6" width="9.7109375" style="0" customWidth="1"/>
    <col min="7" max="7" width="11.421875" style="0" customWidth="1"/>
    <col min="8" max="8" width="12.421875" style="0" customWidth="1"/>
    <col min="9" max="9" width="9.8515625" style="0" customWidth="1"/>
    <col min="10" max="10" width="9.7109375" style="0" customWidth="1"/>
    <col min="11" max="11" width="9.00390625" style="0" customWidth="1"/>
    <col min="12" max="12" width="10.7109375" style="0" customWidth="1"/>
    <col min="13" max="13" width="19.7109375" style="0" customWidth="1"/>
    <col min="14" max="14" width="9.140625" style="0" customWidth="1"/>
    <col min="15" max="15" width="8.28125" style="1" customWidth="1"/>
    <col min="16" max="16" width="7.00390625" style="1" customWidth="1"/>
    <col min="17" max="17" width="4.57421875" style="1" customWidth="1"/>
    <col min="18" max="18" width="8.8515625" style="1" customWidth="1"/>
    <col min="19" max="19" width="9.140625" style="1" customWidth="1"/>
    <col min="20" max="20" width="8.00390625" style="1" customWidth="1"/>
    <col min="21" max="21" width="9.140625" style="1" customWidth="1"/>
    <col min="22" max="24" width="9.140625" style="0" customWidth="1"/>
    <col min="25" max="25" width="11.00390625" style="0" customWidth="1"/>
    <col min="26" max="26" width="9.7109375" style="0" customWidth="1"/>
    <col min="27" max="27" width="10.7109375" style="0" customWidth="1"/>
    <col min="28" max="28" width="10.8515625" style="0" customWidth="1"/>
    <col min="29" max="31" width="9.140625" style="0" customWidth="1"/>
    <col min="32" max="32" width="4.421875" style="0" customWidth="1"/>
    <col min="33" max="34" width="9.140625" style="0" customWidth="1"/>
    <col min="35" max="35" width="10.57421875" style="0" customWidth="1"/>
    <col min="36" max="36" width="10.7109375" style="0" customWidth="1"/>
    <col min="37" max="37" width="11.00390625" style="0" customWidth="1"/>
    <col min="38" max="38" width="11.421875" style="0" customWidth="1"/>
    <col min="39" max="39" width="11.00390625" style="0" customWidth="1"/>
    <col min="40" max="95" width="9.140625" style="0" customWidth="1"/>
    <col min="96" max="96" width="1.1484375" style="0" customWidth="1"/>
    <col min="97" max="97" width="8.140625" style="0" customWidth="1"/>
    <col min="98" max="98" width="9.140625" style="0" customWidth="1"/>
    <col min="99" max="99" width="6.00390625" style="0" customWidth="1"/>
    <col min="100" max="100" width="9.140625" style="0" customWidth="1"/>
    <col min="101" max="101" width="6.7109375" style="0" customWidth="1"/>
    <col min="102" max="102" width="6.28125" style="0" customWidth="1"/>
    <col min="103" max="103" width="9.140625" style="0" customWidth="1"/>
    <col min="104" max="104" width="1.28515625" style="0" customWidth="1"/>
    <col min="105" max="185" width="9.140625" style="0" customWidth="1"/>
    <col min="186" max="186" width="5.421875" style="0" customWidth="1"/>
    <col min="187" max="234" width="9.140625" style="0" customWidth="1"/>
    <col min="235" max="236" width="3.28125" style="0" customWidth="1"/>
    <col min="237" max="237" width="4.421875" style="0" customWidth="1"/>
    <col min="238" max="238" width="5.57421875" style="0" customWidth="1"/>
    <col min="239" max="239" width="2.8515625" style="0" customWidth="1"/>
    <col min="240" max="240" width="3.140625" style="0" customWidth="1"/>
    <col min="241" max="241" width="5.00390625" style="0" customWidth="1"/>
    <col min="242" max="242" width="5.28125" style="0" customWidth="1"/>
    <col min="243" max="243" width="4.7109375" style="0" customWidth="1"/>
    <col min="244" max="244" width="4.57421875" style="0" customWidth="1"/>
    <col min="245" max="245" width="4.00390625" style="0" customWidth="1"/>
    <col min="246" max="246" width="4.7109375" style="0" customWidth="1"/>
    <col min="247" max="247" width="4.421875" style="0" customWidth="1"/>
    <col min="248" max="248" width="6.421875" style="0" customWidth="1"/>
    <col min="249" max="249" width="5.421875" style="0" customWidth="1"/>
    <col min="250" max="250" width="3.7109375" style="0" customWidth="1"/>
    <col min="251" max="251" width="2.57421875" style="0" customWidth="1"/>
    <col min="252" max="252" width="6.00390625" style="0" customWidth="1"/>
    <col min="253" max="253" width="3.28125" style="0" customWidth="1"/>
    <col min="254" max="254" width="2.421875" style="0" customWidth="1"/>
    <col min="255" max="255" width="4.28125" style="0" customWidth="1"/>
  </cols>
  <sheetData>
    <row r="1" spans="1:18" ht="27.75" thickBot="1" thickTop="1">
      <c r="A1" s="221"/>
      <c r="B1" s="387" t="s">
        <v>480</v>
      </c>
      <c r="C1" s="387"/>
      <c r="D1" s="388"/>
      <c r="E1" s="388"/>
      <c r="F1" s="388"/>
      <c r="G1" s="387"/>
      <c r="H1" s="387"/>
      <c r="I1" s="387"/>
      <c r="J1" s="387"/>
      <c r="K1" s="387"/>
      <c r="L1" s="387"/>
      <c r="M1" s="389"/>
      <c r="N1" s="446"/>
      <c r="O1" s="447"/>
      <c r="P1" s="448"/>
      <c r="Q1" s="321"/>
      <c r="R1" s="320"/>
    </row>
    <row r="2" spans="1:18" ht="22.5" customHeight="1" thickBot="1" thickTop="1">
      <c r="A2" s="222"/>
      <c r="B2" s="392" t="s">
        <v>405</v>
      </c>
      <c r="C2" s="393"/>
      <c r="D2" s="304"/>
      <c r="E2" s="390" t="s">
        <v>481</v>
      </c>
      <c r="F2" s="391"/>
      <c r="G2" s="398" t="s">
        <v>477</v>
      </c>
      <c r="H2" s="399"/>
      <c r="I2" s="322"/>
      <c r="J2" s="408" t="s">
        <v>482</v>
      </c>
      <c r="K2" s="409"/>
      <c r="L2" s="410"/>
      <c r="M2" s="325"/>
      <c r="N2" s="449"/>
      <c r="O2" s="450"/>
      <c r="P2" s="451"/>
      <c r="Q2" s="321"/>
      <c r="R2" s="320"/>
    </row>
    <row r="3" spans="1:18" ht="22.5" customHeight="1" thickBot="1" thickTop="1">
      <c r="A3" s="222"/>
      <c r="B3" s="394" t="s">
        <v>424</v>
      </c>
      <c r="C3" s="395"/>
      <c r="D3" s="305"/>
      <c r="E3" s="306"/>
      <c r="F3" s="309"/>
      <c r="G3" s="396" t="s">
        <v>401</v>
      </c>
      <c r="H3" s="397"/>
      <c r="I3" s="319"/>
      <c r="J3" s="411"/>
      <c r="K3" s="412"/>
      <c r="L3" s="413"/>
      <c r="M3" s="326"/>
      <c r="N3" s="449"/>
      <c r="O3" s="450"/>
      <c r="P3" s="451"/>
      <c r="Q3" s="321"/>
      <c r="R3" s="320"/>
    </row>
    <row r="4" spans="1:18" s="1" customFormat="1" ht="22.5" customHeight="1" thickBot="1">
      <c r="A4" s="222"/>
      <c r="B4" s="385" t="s">
        <v>52</v>
      </c>
      <c r="C4" s="386"/>
      <c r="D4" s="305"/>
      <c r="E4" s="306"/>
      <c r="F4" s="348"/>
      <c r="G4" s="417" t="s">
        <v>487</v>
      </c>
      <c r="H4" s="418"/>
      <c r="I4" s="349"/>
      <c r="J4" s="411"/>
      <c r="K4" s="412"/>
      <c r="L4" s="413"/>
      <c r="M4" s="326"/>
      <c r="N4" s="449"/>
      <c r="O4" s="450"/>
      <c r="P4" s="451"/>
      <c r="Q4" s="321"/>
      <c r="R4" s="320"/>
    </row>
    <row r="5" spans="1:31" ht="22.5" customHeight="1" thickBot="1">
      <c r="A5" s="222"/>
      <c r="B5" s="385" t="s">
        <v>0</v>
      </c>
      <c r="C5" s="386"/>
      <c r="D5" s="305"/>
      <c r="E5" s="305"/>
      <c r="F5" s="471" t="s">
        <v>488</v>
      </c>
      <c r="G5" s="472"/>
      <c r="H5" s="473">
        <v>25879643254569</v>
      </c>
      <c r="I5" s="474"/>
      <c r="J5" s="412"/>
      <c r="K5" s="412"/>
      <c r="L5" s="413"/>
      <c r="M5" s="326"/>
      <c r="N5" s="449"/>
      <c r="O5" s="450"/>
      <c r="P5" s="451"/>
      <c r="Q5" s="321"/>
      <c r="R5" s="331"/>
      <c r="Z5" s="2"/>
      <c r="AA5" s="2"/>
      <c r="AB5" s="2"/>
      <c r="AC5" s="2"/>
      <c r="AD5" s="2"/>
      <c r="AE5" s="2"/>
    </row>
    <row r="6" spans="1:31" ht="22.5" customHeight="1" thickBot="1">
      <c r="A6" s="222"/>
      <c r="B6" s="385" t="s">
        <v>271</v>
      </c>
      <c r="C6" s="386"/>
      <c r="D6" s="305"/>
      <c r="E6" s="305"/>
      <c r="F6" s="468" t="s">
        <v>467</v>
      </c>
      <c r="G6" s="469"/>
      <c r="H6" s="469"/>
      <c r="I6" s="470"/>
      <c r="J6" s="412"/>
      <c r="K6" s="412"/>
      <c r="L6" s="413"/>
      <c r="M6" s="326"/>
      <c r="N6" s="449"/>
      <c r="O6" s="450"/>
      <c r="P6" s="451"/>
      <c r="Q6" s="321"/>
      <c r="R6" s="320"/>
      <c r="S6" s="369"/>
      <c r="Z6" s="2"/>
      <c r="AA6" s="2"/>
      <c r="AB6" s="2"/>
      <c r="AC6" s="2"/>
      <c r="AD6" s="2"/>
      <c r="AE6" s="2"/>
    </row>
    <row r="7" spans="1:31" ht="22.5" customHeight="1" thickBot="1">
      <c r="A7" s="222"/>
      <c r="B7" s="385" t="s">
        <v>406</v>
      </c>
      <c r="C7" s="386"/>
      <c r="D7" s="404" t="s">
        <v>407</v>
      </c>
      <c r="E7" s="405"/>
      <c r="F7" s="465" t="s">
        <v>478</v>
      </c>
      <c r="G7" s="466"/>
      <c r="H7" s="466"/>
      <c r="I7" s="467"/>
      <c r="J7" s="411"/>
      <c r="K7" s="412"/>
      <c r="L7" s="413"/>
      <c r="M7" s="326"/>
      <c r="N7" s="449"/>
      <c r="O7" s="450"/>
      <c r="P7" s="451"/>
      <c r="Q7" s="321"/>
      <c r="R7" s="320"/>
      <c r="Z7" s="2"/>
      <c r="AA7" s="2"/>
      <c r="AB7" s="2"/>
      <c r="AC7" s="2"/>
      <c r="AD7" s="2"/>
      <c r="AE7" s="2"/>
    </row>
    <row r="8" spans="1:31" ht="22.5" customHeight="1" thickBot="1">
      <c r="A8" s="222"/>
      <c r="B8" s="385" t="s">
        <v>1</v>
      </c>
      <c r="C8" s="386"/>
      <c r="D8" s="404" t="s">
        <v>408</v>
      </c>
      <c r="E8" s="405"/>
      <c r="F8" s="435" t="s">
        <v>466</v>
      </c>
      <c r="G8" s="436"/>
      <c r="H8" s="436"/>
      <c r="I8" s="436"/>
      <c r="J8" s="414"/>
      <c r="K8" s="415"/>
      <c r="L8" s="416"/>
      <c r="M8" s="327"/>
      <c r="N8" s="449"/>
      <c r="O8" s="450"/>
      <c r="P8" s="451"/>
      <c r="Q8" s="321"/>
      <c r="R8" s="320"/>
      <c r="Z8" s="2"/>
      <c r="AA8" s="2"/>
      <c r="AB8" s="2"/>
      <c r="AC8" s="2"/>
      <c r="AD8" s="2"/>
      <c r="AE8" s="2"/>
    </row>
    <row r="9" spans="1:31" s="1" customFormat="1" ht="22.5" customHeight="1" thickBot="1">
      <c r="A9" s="222"/>
      <c r="B9" s="385" t="s">
        <v>426</v>
      </c>
      <c r="C9" s="386"/>
      <c r="D9" s="307"/>
      <c r="E9" s="307"/>
      <c r="F9" s="455" t="str">
        <f>AD120</f>
        <v>Need to Required Qualification are three years Degree &amp; Professional course or PAT</v>
      </c>
      <c r="G9" s="456"/>
      <c r="H9" s="437" t="s">
        <v>456</v>
      </c>
      <c r="I9" s="438"/>
      <c r="J9" s="406" t="str">
        <f>Z120</f>
        <v>28  years 9 months  and 2 days. </v>
      </c>
      <c r="K9" s="407"/>
      <c r="L9" s="407"/>
      <c r="M9" s="407"/>
      <c r="N9" s="449"/>
      <c r="O9" s="450"/>
      <c r="P9" s="451"/>
      <c r="Q9" s="321"/>
      <c r="R9" s="320"/>
      <c r="Z9" s="2"/>
      <c r="AA9" s="2"/>
      <c r="AB9" s="2"/>
      <c r="AC9" s="2"/>
      <c r="AD9" s="2"/>
      <c r="AE9" s="2"/>
    </row>
    <row r="10" spans="1:31" ht="25.5" customHeight="1" thickBot="1">
      <c r="A10" s="222"/>
      <c r="B10" s="394" t="s">
        <v>425</v>
      </c>
      <c r="C10" s="395"/>
      <c r="D10" s="308"/>
      <c r="E10" s="308"/>
      <c r="F10" s="457"/>
      <c r="G10" s="458"/>
      <c r="H10" s="439" t="s">
        <v>457</v>
      </c>
      <c r="I10" s="440"/>
      <c r="J10" s="461" t="str">
        <f>Z121</f>
        <v>12  years 0 months  and 19 days. </v>
      </c>
      <c r="K10" s="462"/>
      <c r="L10" s="463"/>
      <c r="M10" s="464"/>
      <c r="N10" s="449"/>
      <c r="O10" s="450"/>
      <c r="P10" s="451"/>
      <c r="R10" s="320"/>
      <c r="Z10" s="2"/>
      <c r="AA10" s="2"/>
      <c r="AB10" s="2"/>
      <c r="AC10" s="2"/>
      <c r="AD10" s="2"/>
      <c r="AE10" s="2"/>
    </row>
    <row r="11" spans="1:31" ht="22.5" customHeight="1" thickBot="1">
      <c r="A11" s="222"/>
      <c r="B11" s="731" t="s">
        <v>531</v>
      </c>
      <c r="C11" s="732"/>
      <c r="D11" s="316"/>
      <c r="E11" s="332"/>
      <c r="F11" s="459"/>
      <c r="G11" s="460"/>
      <c r="H11" s="475" t="str">
        <f>CONCATENATE("    Your  ",Q189," years scale  w.e.f ")</f>
        <v>    Your  12 years scale  w.e.f </v>
      </c>
      <c r="I11" s="476"/>
      <c r="J11" s="476"/>
      <c r="K11" s="477"/>
      <c r="L11" s="441">
        <f>AJ114</f>
        <v>41660</v>
      </c>
      <c r="M11" s="442"/>
      <c r="N11" s="449"/>
      <c r="O11" s="450"/>
      <c r="P11" s="451"/>
      <c r="Q11" s="321"/>
      <c r="R11" s="320"/>
      <c r="Z11" s="2"/>
      <c r="AA11" s="2"/>
      <c r="AB11" s="2"/>
      <c r="AC11" s="2"/>
      <c r="AD11" s="2"/>
      <c r="AE11" s="2"/>
    </row>
    <row r="12" spans="1:31" ht="22.5" customHeight="1" thickBot="1" thickTop="1">
      <c r="A12" s="221"/>
      <c r="B12" s="427" t="s">
        <v>409</v>
      </c>
      <c r="C12" s="428"/>
      <c r="D12" s="478">
        <v>938023</v>
      </c>
      <c r="E12" s="479"/>
      <c r="F12" s="480"/>
      <c r="G12" s="433" t="s">
        <v>410</v>
      </c>
      <c r="H12" s="434"/>
      <c r="I12" s="429"/>
      <c r="J12" s="430"/>
      <c r="K12" s="263" t="s">
        <v>387</v>
      </c>
      <c r="L12" s="313"/>
      <c r="M12" s="443" t="s">
        <v>485</v>
      </c>
      <c r="N12" s="450"/>
      <c r="O12" s="450"/>
      <c r="P12" s="451"/>
      <c r="Q12" s="321"/>
      <c r="R12" s="320"/>
      <c r="Z12" s="2"/>
      <c r="AA12" s="2"/>
      <c r="AB12" s="2"/>
      <c r="AC12" s="2"/>
      <c r="AD12" s="2"/>
      <c r="AE12" s="2"/>
    </row>
    <row r="13" spans="1:31" ht="22.5" customHeight="1" thickBot="1">
      <c r="A13" s="221"/>
      <c r="B13" s="419" t="s">
        <v>411</v>
      </c>
      <c r="C13" s="420"/>
      <c r="D13" s="421"/>
      <c r="E13" s="422"/>
      <c r="F13" s="423"/>
      <c r="G13" s="419" t="s">
        <v>412</v>
      </c>
      <c r="H13" s="420"/>
      <c r="I13" s="424" t="s">
        <v>408</v>
      </c>
      <c r="J13" s="426"/>
      <c r="K13" s="328" t="s">
        <v>386</v>
      </c>
      <c r="L13" s="323">
        <v>63.344</v>
      </c>
      <c r="M13" s="444"/>
      <c r="N13" s="450"/>
      <c r="O13" s="450"/>
      <c r="P13" s="451"/>
      <c r="Q13" s="321"/>
      <c r="R13" s="320"/>
      <c r="Z13" s="2"/>
      <c r="AA13" s="2"/>
      <c r="AB13" s="2"/>
      <c r="AC13" s="2"/>
      <c r="AD13" s="2"/>
      <c r="AE13" s="2"/>
    </row>
    <row r="14" spans="1:31" ht="22.5" customHeight="1" thickBot="1">
      <c r="A14" s="221"/>
      <c r="B14" s="400" t="s">
        <v>413</v>
      </c>
      <c r="C14" s="400"/>
      <c r="D14" s="315"/>
      <c r="E14" s="424" t="s">
        <v>473</v>
      </c>
      <c r="F14" s="426"/>
      <c r="G14" s="431" t="s">
        <v>420</v>
      </c>
      <c r="H14" s="432"/>
      <c r="I14" s="424">
        <v>11164896825</v>
      </c>
      <c r="J14" s="426"/>
      <c r="K14" s="264" t="s">
        <v>2</v>
      </c>
      <c r="L14" s="310" t="s">
        <v>43</v>
      </c>
      <c r="M14" s="344"/>
      <c r="N14" s="449"/>
      <c r="O14" s="450"/>
      <c r="P14" s="451"/>
      <c r="Q14" s="321"/>
      <c r="R14" s="320"/>
      <c r="Z14" s="2"/>
      <c r="AA14" s="2"/>
      <c r="AB14" s="2"/>
      <c r="AC14" s="2"/>
      <c r="AD14" s="2"/>
      <c r="AE14" s="2"/>
    </row>
    <row r="15" spans="1:31" ht="22.5" customHeight="1" thickBot="1">
      <c r="A15" s="221"/>
      <c r="B15" s="400" t="s">
        <v>165</v>
      </c>
      <c r="C15" s="400"/>
      <c r="D15" s="424">
        <v>9130308020</v>
      </c>
      <c r="E15" s="425"/>
      <c r="F15" s="426"/>
      <c r="G15" s="419" t="s">
        <v>414</v>
      </c>
      <c r="H15" s="420"/>
      <c r="I15" s="424" t="s">
        <v>280</v>
      </c>
      <c r="J15" s="426"/>
      <c r="K15" s="419" t="s">
        <v>415</v>
      </c>
      <c r="L15" s="420"/>
      <c r="M15" s="314">
        <v>913</v>
      </c>
      <c r="N15" s="449"/>
      <c r="O15" s="450"/>
      <c r="P15" s="451"/>
      <c r="Q15" s="321"/>
      <c r="R15" s="320"/>
      <c r="Z15" s="2"/>
      <c r="AA15" s="2"/>
      <c r="AB15" s="2"/>
      <c r="AC15" s="2"/>
      <c r="AD15" s="2"/>
      <c r="AE15" s="2"/>
    </row>
    <row r="16" spans="1:18" ht="22.5" customHeight="1" thickBot="1">
      <c r="A16" s="221"/>
      <c r="B16" s="400" t="s">
        <v>416</v>
      </c>
      <c r="C16" s="400"/>
      <c r="D16" s="401" t="s">
        <v>496</v>
      </c>
      <c r="E16" s="402"/>
      <c r="F16" s="403"/>
      <c r="G16" s="419" t="s">
        <v>417</v>
      </c>
      <c r="H16" s="420"/>
      <c r="I16" s="424">
        <v>981</v>
      </c>
      <c r="J16" s="426"/>
      <c r="K16" s="419" t="s">
        <v>418</v>
      </c>
      <c r="L16" s="420"/>
      <c r="M16" s="310" t="s">
        <v>419</v>
      </c>
      <c r="N16" s="449"/>
      <c r="O16" s="450"/>
      <c r="P16" s="451"/>
      <c r="Q16" s="321"/>
      <c r="R16" s="320"/>
    </row>
    <row r="17" spans="1:18" ht="21" customHeight="1" thickBot="1">
      <c r="A17" s="221"/>
      <c r="B17" s="400" t="s">
        <v>421</v>
      </c>
      <c r="C17" s="400"/>
      <c r="D17" s="421"/>
      <c r="E17" s="422"/>
      <c r="F17" s="423"/>
      <c r="G17" s="328" t="s">
        <v>422</v>
      </c>
      <c r="H17" s="328"/>
      <c r="I17" s="311"/>
      <c r="J17" s="312"/>
      <c r="K17" s="329" t="s">
        <v>423</v>
      </c>
      <c r="L17" s="330"/>
      <c r="M17" s="345" t="s">
        <v>408</v>
      </c>
      <c r="N17" s="452"/>
      <c r="O17" s="453"/>
      <c r="P17" s="454"/>
      <c r="Q17" s="321"/>
      <c r="R17" s="320"/>
    </row>
    <row r="18" spans="1:18" ht="12.75" customHeight="1">
      <c r="A18" s="315"/>
      <c r="B18" s="315"/>
      <c r="C18" s="315"/>
      <c r="D18" s="315"/>
      <c r="E18" s="315"/>
      <c r="F18" s="315"/>
      <c r="G18" s="315"/>
      <c r="H18" s="315"/>
      <c r="I18" s="315"/>
      <c r="J18" s="315"/>
      <c r="K18" s="315"/>
      <c r="L18" s="315"/>
      <c r="M18" s="315"/>
      <c r="N18" s="315"/>
      <c r="O18" s="315"/>
      <c r="P18" s="315"/>
      <c r="Q18" s="315"/>
      <c r="R18" s="315"/>
    </row>
    <row r="20" ht="15">
      <c r="E20" s="223"/>
    </row>
    <row r="23" ht="15">
      <c r="H23" s="223"/>
    </row>
    <row r="84" ht="15" hidden="1"/>
    <row r="85" spans="36:37" ht="15" hidden="1">
      <c r="AJ85">
        <v>1</v>
      </c>
      <c r="AK85">
        <v>31</v>
      </c>
    </row>
    <row r="86" spans="36:37" ht="15" hidden="1">
      <c r="AJ86">
        <v>2</v>
      </c>
      <c r="AK86">
        <v>28</v>
      </c>
    </row>
    <row r="87" spans="36:37" ht="15" hidden="1">
      <c r="AJ87" s="1">
        <v>3</v>
      </c>
      <c r="AK87" s="1">
        <v>31</v>
      </c>
    </row>
    <row r="88" spans="36:37" ht="15" hidden="1">
      <c r="AJ88" s="1">
        <v>4</v>
      </c>
      <c r="AK88" s="1">
        <v>30</v>
      </c>
    </row>
    <row r="89" spans="36:37" ht="15" hidden="1">
      <c r="AJ89" s="1">
        <v>5</v>
      </c>
      <c r="AK89" s="1">
        <v>31</v>
      </c>
    </row>
    <row r="90" spans="36:37" ht="15" hidden="1">
      <c r="AJ90" s="1">
        <v>6</v>
      </c>
      <c r="AK90" s="1">
        <v>30</v>
      </c>
    </row>
    <row r="91" spans="36:37" ht="15" hidden="1">
      <c r="AJ91" s="1">
        <v>7</v>
      </c>
      <c r="AK91" s="1">
        <v>31</v>
      </c>
    </row>
    <row r="92" spans="36:37" ht="15" hidden="1">
      <c r="AJ92" s="1">
        <v>8</v>
      </c>
      <c r="AK92" s="1">
        <v>31</v>
      </c>
    </row>
    <row r="93" spans="36:37" ht="15" hidden="1">
      <c r="AJ93" s="1">
        <v>9</v>
      </c>
      <c r="AK93" s="1">
        <v>30</v>
      </c>
    </row>
    <row r="94" spans="36:37" ht="15" hidden="1">
      <c r="AJ94" s="1">
        <v>10</v>
      </c>
      <c r="AK94" s="1">
        <v>31</v>
      </c>
    </row>
    <row r="95" spans="36:37" ht="15" hidden="1">
      <c r="AJ95" s="1">
        <v>11</v>
      </c>
      <c r="AK95" s="1">
        <v>30</v>
      </c>
    </row>
    <row r="96" spans="36:37" ht="15" hidden="1">
      <c r="AJ96" s="1">
        <v>12</v>
      </c>
      <c r="AK96">
        <v>31</v>
      </c>
    </row>
    <row r="97" spans="37:42" ht="15" hidden="1">
      <c r="AK97">
        <f>VLOOKUP(AL103,AJ85:AK96,2,TRUE)</f>
        <v>31</v>
      </c>
      <c r="AM97">
        <v>1</v>
      </c>
      <c r="AN97">
        <v>6</v>
      </c>
      <c r="AO97">
        <v>35.952</v>
      </c>
      <c r="AP97">
        <v>12</v>
      </c>
    </row>
    <row r="98" spans="39:42" ht="15" hidden="1">
      <c r="AM98">
        <v>2</v>
      </c>
      <c r="AN98">
        <v>12</v>
      </c>
      <c r="AO98">
        <v>41.992</v>
      </c>
      <c r="AP98">
        <v>14.5</v>
      </c>
    </row>
    <row r="99" spans="18:46" ht="15" hidden="1">
      <c r="R99" s="1">
        <v>1960</v>
      </c>
      <c r="AM99">
        <v>3</v>
      </c>
      <c r="AN99">
        <v>18</v>
      </c>
      <c r="AO99">
        <v>47.936</v>
      </c>
      <c r="AP99">
        <v>20</v>
      </c>
      <c r="AS99" s="1"/>
      <c r="AT99" s="1"/>
    </row>
    <row r="100" spans="15:51" ht="15" hidden="1">
      <c r="O100" s="1">
        <v>1</v>
      </c>
      <c r="R100" s="1">
        <v>1961</v>
      </c>
      <c r="AM100">
        <v>4</v>
      </c>
      <c r="AN100">
        <v>24</v>
      </c>
      <c r="AP100">
        <v>30</v>
      </c>
      <c r="AS100" s="1"/>
      <c r="AT100" s="1"/>
      <c r="AV100">
        <f>IF(AT114&gt;=20000,200,IF(AT114&gt;=15000,150,0))</f>
        <v>0</v>
      </c>
      <c r="AW100">
        <f>IF(AO114="",0,AV100)</f>
        <v>0</v>
      </c>
      <c r="AX100" s="1">
        <f>IF(AY114&gt;=20000,200,IF(AY114&gt;=15000,150,0))</f>
        <v>0</v>
      </c>
      <c r="AY100" s="1">
        <f>IF(AO114="",0,AX100)</f>
        <v>0</v>
      </c>
    </row>
    <row r="101" spans="15:51" ht="15.75" hidden="1" thickBot="1">
      <c r="O101" s="1">
        <v>2</v>
      </c>
      <c r="R101" s="1">
        <v>1962</v>
      </c>
      <c r="AN101" s="294">
        <v>1</v>
      </c>
      <c r="AO101" s="294">
        <v>3</v>
      </c>
      <c r="AP101" s="294">
        <v>1</v>
      </c>
      <c r="AS101" s="1"/>
      <c r="AT101" s="1"/>
      <c r="AV101" s="1">
        <f aca="true" t="shared" si="0" ref="AV101:AV111">IF(AT115&gt;=20000,200,IF(AT115&gt;=15000,150,0))</f>
        <v>200</v>
      </c>
      <c r="AW101" s="1">
        <f aca="true" t="shared" si="1" ref="AW101:AW111">IF(AO115="",0,AV101)</f>
        <v>200</v>
      </c>
      <c r="AX101" s="1">
        <f aca="true" t="shared" si="2" ref="AX101:AX111">IF(AY115&gt;=20000,200,IF(AY115&gt;=15000,150,0))</f>
        <v>200</v>
      </c>
      <c r="AY101" s="1">
        <f aca="true" t="shared" si="3" ref="AY101:AY111">IF(AO115="",0,AX101)</f>
        <v>200</v>
      </c>
    </row>
    <row r="102" spans="13:51" ht="15.75" hidden="1" thickTop="1">
      <c r="M102" s="1"/>
      <c r="O102" s="1">
        <v>3</v>
      </c>
      <c r="R102" s="1">
        <v>1963</v>
      </c>
      <c r="U102" s="1">
        <v>1</v>
      </c>
      <c r="V102" t="s">
        <v>4</v>
      </c>
      <c r="W102">
        <v>1</v>
      </c>
      <c r="X102" s="1" t="s">
        <v>7</v>
      </c>
      <c r="Y102" s="229"/>
      <c r="Z102" s="230"/>
      <c r="AA102" s="230"/>
      <c r="AB102" s="230"/>
      <c r="AC102" s="230">
        <f>AC104/12</f>
        <v>0</v>
      </c>
      <c r="AD102" s="230">
        <f>AC102*100</f>
        <v>0</v>
      </c>
      <c r="AE102" s="230">
        <f>INT(AD102/100)</f>
        <v>0</v>
      </c>
      <c r="AF102" s="230">
        <f>INT(AD102)-AE102*100</f>
        <v>0</v>
      </c>
      <c r="AG102" s="231">
        <f>ROUND(AF102/8,0)</f>
        <v>0</v>
      </c>
      <c r="AN102">
        <f>VLOOKUP(AN101,AM97:AN100,2,FALSE)</f>
        <v>6</v>
      </c>
      <c r="AO102">
        <f>L13</f>
        <v>63.344</v>
      </c>
      <c r="AP102">
        <f>VLOOKUP(AP101,AM97:AP100,4,FALSE)</f>
        <v>12</v>
      </c>
      <c r="AS102" s="1"/>
      <c r="AT102" s="1"/>
      <c r="AV102" s="1">
        <f t="shared" si="0"/>
        <v>200</v>
      </c>
      <c r="AW102" s="1">
        <f t="shared" si="1"/>
        <v>200</v>
      </c>
      <c r="AX102" s="1">
        <f t="shared" si="2"/>
        <v>200</v>
      </c>
      <c r="AY102" s="1">
        <f t="shared" si="3"/>
        <v>200</v>
      </c>
    </row>
    <row r="103" spans="13:51" ht="15" hidden="1">
      <c r="M103" s="1"/>
      <c r="O103" s="1">
        <v>4</v>
      </c>
      <c r="R103" s="1">
        <v>1964</v>
      </c>
      <c r="U103" s="1">
        <v>2</v>
      </c>
      <c r="V103" s="1" t="s">
        <v>470</v>
      </c>
      <c r="W103">
        <v>2</v>
      </c>
      <c r="X103" s="1" t="s">
        <v>8</v>
      </c>
      <c r="Y103" s="232"/>
      <c r="Z103" s="3"/>
      <c r="AA103" s="3"/>
      <c r="AB103" s="3"/>
      <c r="AC103" s="3" t="s">
        <v>433</v>
      </c>
      <c r="AD103" s="3"/>
      <c r="AE103" s="3"/>
      <c r="AF103" s="3" t="s">
        <v>44</v>
      </c>
      <c r="AG103" s="233"/>
      <c r="AK103" s="294">
        <v>21</v>
      </c>
      <c r="AL103" s="294">
        <v>1</v>
      </c>
      <c r="AM103" s="294">
        <v>18</v>
      </c>
      <c r="AS103" s="1"/>
      <c r="AT103" s="1"/>
      <c r="AV103" s="1">
        <f t="shared" si="0"/>
        <v>200</v>
      </c>
      <c r="AW103" s="1">
        <f t="shared" si="1"/>
        <v>0</v>
      </c>
      <c r="AX103" s="1">
        <f t="shared" si="2"/>
        <v>200</v>
      </c>
      <c r="AY103" s="1">
        <f t="shared" si="3"/>
        <v>0</v>
      </c>
    </row>
    <row r="104" spans="13:51" ht="15" hidden="1">
      <c r="M104" s="1"/>
      <c r="O104" s="1">
        <v>5</v>
      </c>
      <c r="R104" s="1">
        <v>1965</v>
      </c>
      <c r="U104" s="1">
        <v>3</v>
      </c>
      <c r="V104" t="s">
        <v>19</v>
      </c>
      <c r="W104">
        <v>2</v>
      </c>
      <c r="X104" s="1" t="s">
        <v>9</v>
      </c>
      <c r="Y104" s="232" t="s">
        <v>432</v>
      </c>
      <c r="Z104" s="3">
        <f>I2</f>
        <v>0</v>
      </c>
      <c r="AA104" s="3">
        <f>Z104/30</f>
        <v>0</v>
      </c>
      <c r="AB104" s="3">
        <f>INT(AA104*100)</f>
        <v>0</v>
      </c>
      <c r="AC104" s="3">
        <f>INT(AB104/100)</f>
        <v>0</v>
      </c>
      <c r="AD104" s="3">
        <f>INT(AB104-AC104*100)</f>
        <v>0</v>
      </c>
      <c r="AE104" s="3">
        <f>MROUND(AD104*3,10)</f>
        <v>0</v>
      </c>
      <c r="AF104" s="3">
        <f>ROUND(INT(AE104/10),0)</f>
        <v>0</v>
      </c>
      <c r="AG104" s="233"/>
      <c r="AJ104" s="225">
        <f ca="1">TODAY()</f>
        <v>41682</v>
      </c>
      <c r="AS104" s="1"/>
      <c r="AT104" s="1"/>
      <c r="AV104" s="1">
        <f t="shared" si="0"/>
        <v>200</v>
      </c>
      <c r="AW104" s="1">
        <f t="shared" si="1"/>
        <v>0</v>
      </c>
      <c r="AX104" s="1">
        <f t="shared" si="2"/>
        <v>200</v>
      </c>
      <c r="AY104" s="1">
        <f t="shared" si="3"/>
        <v>0</v>
      </c>
    </row>
    <row r="105" spans="13:51" ht="15" hidden="1">
      <c r="M105" s="1"/>
      <c r="N105" s="1"/>
      <c r="O105" s="1">
        <v>6</v>
      </c>
      <c r="R105" s="1">
        <v>1966</v>
      </c>
      <c r="U105" s="1">
        <v>4</v>
      </c>
      <c r="V105" t="s">
        <v>20</v>
      </c>
      <c r="W105">
        <v>2</v>
      </c>
      <c r="X105" s="1" t="s">
        <v>10</v>
      </c>
      <c r="Y105" s="232"/>
      <c r="Z105" s="3" t="str">
        <f>CONCATENATE(AE102,"  years ",AG102,"  months  ",AF104,"   days")</f>
        <v>0  years 0  months  0   days</v>
      </c>
      <c r="AA105" s="3"/>
      <c r="AB105" s="3"/>
      <c r="AC105" s="3"/>
      <c r="AD105" s="3"/>
      <c r="AE105" s="3"/>
      <c r="AF105" s="3"/>
      <c r="AG105" s="233"/>
      <c r="AK105">
        <f>AL103</f>
        <v>1</v>
      </c>
      <c r="AN105" s="226" t="s">
        <v>42</v>
      </c>
      <c r="AS105" s="1"/>
      <c r="AT105" s="1"/>
      <c r="AV105" s="1">
        <f t="shared" si="0"/>
        <v>200</v>
      </c>
      <c r="AW105" s="1">
        <f t="shared" si="1"/>
        <v>0</v>
      </c>
      <c r="AX105" s="1">
        <f t="shared" si="2"/>
        <v>200</v>
      </c>
      <c r="AY105" s="1">
        <f t="shared" si="3"/>
        <v>0</v>
      </c>
    </row>
    <row r="106" spans="13:51" ht="15" hidden="1">
      <c r="M106" s="1"/>
      <c r="N106" s="1"/>
      <c r="O106" s="1">
        <v>7</v>
      </c>
      <c r="P106" s="1" t="s">
        <v>7</v>
      </c>
      <c r="Q106" s="1">
        <v>1</v>
      </c>
      <c r="R106" s="1">
        <v>1967</v>
      </c>
      <c r="U106" s="1">
        <v>5</v>
      </c>
      <c r="V106" t="s">
        <v>21</v>
      </c>
      <c r="W106">
        <v>2</v>
      </c>
      <c r="X106" s="1" t="s">
        <v>11</v>
      </c>
      <c r="Y106" s="232"/>
      <c r="Z106" s="234"/>
      <c r="AA106" s="3"/>
      <c r="AB106" s="3"/>
      <c r="AC106" s="3"/>
      <c r="AD106" s="3"/>
      <c r="AE106" s="3"/>
      <c r="AF106" s="3"/>
      <c r="AG106" s="233"/>
      <c r="AI106" s="1" t="s">
        <v>29</v>
      </c>
      <c r="AJ106">
        <f>AK103</f>
        <v>21</v>
      </c>
      <c r="AK106" s="1" t="str">
        <f>VLOOKUP(AK105,U102:X113,4,FALSE)</f>
        <v>Jan</v>
      </c>
      <c r="AL106" s="1">
        <f>VLOOKUP(AM103,L124:R151,7,FALSE)</f>
        <v>2002</v>
      </c>
      <c r="AM106">
        <f>DATEDIF(AJ107,AJ104,"Y")</f>
        <v>12</v>
      </c>
      <c r="AN106" s="1">
        <f>IF(AM106&gt;=24,AF112,IF(AM106&gt;=18,AF111,IF(AM106&gt;=12,AF110,AF109)))</f>
        <v>12</v>
      </c>
      <c r="AS106" s="1"/>
      <c r="AT106" s="1"/>
      <c r="AV106" s="1">
        <f t="shared" si="0"/>
        <v>200</v>
      </c>
      <c r="AW106" s="1">
        <f t="shared" si="1"/>
        <v>0</v>
      </c>
      <c r="AX106" s="1">
        <f t="shared" si="2"/>
        <v>200</v>
      </c>
      <c r="AY106" s="1">
        <f t="shared" si="3"/>
        <v>0</v>
      </c>
    </row>
    <row r="107" spans="13:51" ht="15.75" hidden="1" thickBot="1">
      <c r="M107" s="1"/>
      <c r="N107" s="1"/>
      <c r="O107" s="1">
        <v>8</v>
      </c>
      <c r="P107" s="1" t="s">
        <v>8</v>
      </c>
      <c r="Q107" s="1">
        <v>2</v>
      </c>
      <c r="R107" s="1">
        <v>1968</v>
      </c>
      <c r="U107" s="1">
        <v>6</v>
      </c>
      <c r="V107" t="s">
        <v>22</v>
      </c>
      <c r="W107">
        <v>2</v>
      </c>
      <c r="X107" s="1" t="s">
        <v>12</v>
      </c>
      <c r="Y107" s="235"/>
      <c r="Z107" s="236"/>
      <c r="AA107" s="237"/>
      <c r="AB107" s="237">
        <f>DATE(YEAR(AK111)+AE102,MONTH(AK111)+AG102,DAY(AK111)+AF104)</f>
        <v>41660</v>
      </c>
      <c r="AC107" s="236"/>
      <c r="AD107" s="236"/>
      <c r="AE107" s="236"/>
      <c r="AF107" s="236"/>
      <c r="AG107" s="238"/>
      <c r="AJ107" s="225">
        <f>DATE(AL106,AK105,AJ106)</f>
        <v>37277</v>
      </c>
      <c r="AK107" t="str">
        <f>TEXT(AJ107,"DD/MM/YYYYY")</f>
        <v>21/01/2002</v>
      </c>
      <c r="AS107" s="1"/>
      <c r="AT107" s="1"/>
      <c r="AV107" s="1">
        <f t="shared" si="0"/>
        <v>200</v>
      </c>
      <c r="AW107" s="1">
        <f t="shared" si="1"/>
        <v>0</v>
      </c>
      <c r="AX107" s="1">
        <f t="shared" si="2"/>
        <v>200</v>
      </c>
      <c r="AY107" s="1">
        <f t="shared" si="3"/>
        <v>0</v>
      </c>
    </row>
    <row r="108" spans="13:51" ht="16.5" hidden="1" thickBot="1" thickTop="1">
      <c r="M108" s="1"/>
      <c r="N108" s="1"/>
      <c r="O108" s="1">
        <v>9</v>
      </c>
      <c r="P108" s="1" t="s">
        <v>9</v>
      </c>
      <c r="Q108" s="1">
        <v>3</v>
      </c>
      <c r="R108" s="1">
        <v>1969</v>
      </c>
      <c r="U108" s="1">
        <v>7</v>
      </c>
      <c r="V108" t="s">
        <v>23</v>
      </c>
      <c r="W108">
        <v>2</v>
      </c>
      <c r="X108" s="1" t="s">
        <v>13</v>
      </c>
      <c r="Y108" s="1"/>
      <c r="AS108" s="1"/>
      <c r="AT108" s="1"/>
      <c r="AV108" s="1">
        <f t="shared" si="0"/>
        <v>200</v>
      </c>
      <c r="AW108" s="1">
        <f t="shared" si="1"/>
        <v>0</v>
      </c>
      <c r="AX108" s="1">
        <f t="shared" si="2"/>
        <v>200</v>
      </c>
      <c r="AY108" s="1">
        <f t="shared" si="3"/>
        <v>0</v>
      </c>
    </row>
    <row r="109" spans="13:51" ht="15.75" hidden="1" thickTop="1">
      <c r="M109" s="1"/>
      <c r="N109" s="1"/>
      <c r="O109" s="1">
        <v>10</v>
      </c>
      <c r="P109" s="1" t="s">
        <v>10</v>
      </c>
      <c r="Q109" s="1">
        <v>4</v>
      </c>
      <c r="R109" s="1">
        <v>1970</v>
      </c>
      <c r="U109" s="1">
        <v>8</v>
      </c>
      <c r="V109" t="s">
        <v>24</v>
      </c>
      <c r="W109">
        <v>2</v>
      </c>
      <c r="X109" s="1" t="s">
        <v>14</v>
      </c>
      <c r="Y109" s="1"/>
      <c r="AA109" s="240"/>
      <c r="AB109" s="295">
        <v>10</v>
      </c>
      <c r="AC109" s="241"/>
      <c r="AD109" s="241"/>
      <c r="AE109" s="242"/>
      <c r="AF109">
        <v>6</v>
      </c>
      <c r="AI109" s="1" t="s">
        <v>427</v>
      </c>
      <c r="AJ109">
        <f>AJ106-1</f>
        <v>20</v>
      </c>
      <c r="AK109">
        <f>AK105</f>
        <v>1</v>
      </c>
      <c r="AL109">
        <f>AL106+AN106</f>
        <v>2014</v>
      </c>
      <c r="AS109" s="1"/>
      <c r="AT109" s="1"/>
      <c r="AV109" s="1">
        <f t="shared" si="0"/>
        <v>200</v>
      </c>
      <c r="AW109" s="1">
        <f t="shared" si="1"/>
        <v>0</v>
      </c>
      <c r="AX109" s="1">
        <f t="shared" si="2"/>
        <v>200</v>
      </c>
      <c r="AY109" s="1">
        <f t="shared" si="3"/>
        <v>0</v>
      </c>
    </row>
    <row r="110" spans="13:51" ht="15" hidden="1">
      <c r="M110" s="1"/>
      <c r="N110" s="1"/>
      <c r="O110" s="1">
        <v>11</v>
      </c>
      <c r="P110" s="1" t="s">
        <v>11</v>
      </c>
      <c r="Q110" s="1">
        <v>5</v>
      </c>
      <c r="R110" s="1">
        <v>1971</v>
      </c>
      <c r="U110" s="1">
        <v>9</v>
      </c>
      <c r="V110" s="1" t="s">
        <v>523</v>
      </c>
      <c r="W110">
        <v>2</v>
      </c>
      <c r="X110" s="1" t="s">
        <v>15</v>
      </c>
      <c r="Y110" s="1"/>
      <c r="AA110" s="243" t="s">
        <v>46</v>
      </c>
      <c r="AB110" s="3">
        <f>VLOOKUP(AB109,X123:Y185,2,FALSE)</f>
        <v>14050</v>
      </c>
      <c r="AC110" s="3"/>
      <c r="AD110" s="3"/>
      <c r="AE110" s="244"/>
      <c r="AF110">
        <v>12</v>
      </c>
      <c r="AG110" s="5"/>
      <c r="AH110" s="5"/>
      <c r="AI110" s="1" t="s">
        <v>428</v>
      </c>
      <c r="AK110" s="225">
        <f>DATE(AL109,AK109,AJ109)</f>
        <v>41659</v>
      </c>
      <c r="AL110" t="str">
        <f>TEXT(AK110,"DD/MM/YYYY")</f>
        <v>20/01/2014</v>
      </c>
      <c r="AM110" s="225">
        <f>AJ114-1</f>
        <v>41659</v>
      </c>
      <c r="AN110" t="str">
        <f>TEXT(AM110,"dd/mm/yyyy")</f>
        <v>20/01/2014</v>
      </c>
      <c r="AO110" s="1" t="s">
        <v>387</v>
      </c>
      <c r="AP110">
        <f>AP102</f>
        <v>12</v>
      </c>
      <c r="AS110" s="1"/>
      <c r="AT110" s="1"/>
      <c r="AV110" s="1">
        <f t="shared" si="0"/>
        <v>200</v>
      </c>
      <c r="AW110" s="1">
        <f t="shared" si="1"/>
        <v>0</v>
      </c>
      <c r="AX110" s="1">
        <f t="shared" si="2"/>
        <v>200</v>
      </c>
      <c r="AY110" s="1">
        <f t="shared" si="3"/>
        <v>0</v>
      </c>
    </row>
    <row r="111" spans="13:51" ht="15" hidden="1">
      <c r="M111" s="1"/>
      <c r="N111" s="1"/>
      <c r="O111" s="1">
        <v>12</v>
      </c>
      <c r="P111" s="1" t="s">
        <v>12</v>
      </c>
      <c r="Q111" s="1">
        <v>6</v>
      </c>
      <c r="R111" s="1">
        <v>1972</v>
      </c>
      <c r="U111" s="1">
        <v>10</v>
      </c>
      <c r="V111" t="s">
        <v>25</v>
      </c>
      <c r="W111">
        <v>3</v>
      </c>
      <c r="X111" s="1" t="s">
        <v>16</v>
      </c>
      <c r="Y111" s="1"/>
      <c r="AA111" s="243"/>
      <c r="AB111" s="3" t="s">
        <v>441</v>
      </c>
      <c r="AC111" s="3">
        <f>P174</f>
        <v>3</v>
      </c>
      <c r="AD111" s="3" t="s">
        <v>385</v>
      </c>
      <c r="AE111" s="244">
        <f>Q189</f>
        <v>12</v>
      </c>
      <c r="AF111">
        <v>18</v>
      </c>
      <c r="AG111" s="5"/>
      <c r="AH111" s="5"/>
      <c r="AK111" s="225">
        <f>DATE(AL109,AK109,AJ106)</f>
        <v>41660</v>
      </c>
      <c r="AL111" t="str">
        <f>TEXT(AK111,"DD/MM/YYYY")</f>
        <v>21/01/2014</v>
      </c>
      <c r="AO111" s="1" t="s">
        <v>386</v>
      </c>
      <c r="AP111">
        <f>AO102</f>
        <v>63.344</v>
      </c>
      <c r="AQ111" s="294">
        <v>13</v>
      </c>
      <c r="AR111" s="227" t="str">
        <f>VLOOKUP(AQ111,AH114:AL126,5,FALSE)</f>
        <v>No change</v>
      </c>
      <c r="AV111" s="1">
        <f t="shared" si="0"/>
        <v>200</v>
      </c>
      <c r="AW111" s="1">
        <f t="shared" si="1"/>
        <v>0</v>
      </c>
      <c r="AX111" s="1">
        <f t="shared" si="2"/>
        <v>200</v>
      </c>
      <c r="AY111" s="1">
        <f t="shared" si="3"/>
        <v>0</v>
      </c>
    </row>
    <row r="112" spans="13:64" ht="15.75" hidden="1" thickBot="1">
      <c r="M112" s="1"/>
      <c r="N112" s="1"/>
      <c r="O112" s="1">
        <v>13</v>
      </c>
      <c r="P112" s="1" t="s">
        <v>13</v>
      </c>
      <c r="Q112" s="1">
        <v>7</v>
      </c>
      <c r="R112" s="1">
        <v>1973</v>
      </c>
      <c r="U112" s="1">
        <v>11</v>
      </c>
      <c r="V112" s="1" t="s">
        <v>522</v>
      </c>
      <c r="W112">
        <v>3</v>
      </c>
      <c r="X112" s="1" t="s">
        <v>17</v>
      </c>
      <c r="Y112" s="1"/>
      <c r="AA112" s="245"/>
      <c r="AB112" s="246" t="s">
        <v>442</v>
      </c>
      <c r="AC112" s="246">
        <f>IF(AND(AC111=1,AE111=6),VLOOKUP(AB110,Y123:AC186,5,0),IF(AND(AC111=2,AE111=6),VLOOKUP(AB110,Y123:AC186,5,0),IF(AND(AC111=2,AE111=12),VLOOKUP(AB110,Y123:AB186,3,0),IF(AND(AC111=2,AE111=18),VLOOKUP(AB110,Y123:AB186,3,0),IF(AND(AC111=3,AE111=6),VLOOKUP(AB110,Y123:AC186,5,0),IF(AND(AC111=3,AE111=12),VLOOKUP(AB110,Y123:AB186,2,0),VLOOKUP(AB110,Y123:AC186,5,0)))))))</f>
        <v>14860</v>
      </c>
      <c r="AD112" s="246"/>
      <c r="AE112" s="247"/>
      <c r="AF112">
        <v>24</v>
      </c>
      <c r="AG112" s="5"/>
      <c r="AH112" s="5"/>
      <c r="AI112" s="1" t="s">
        <v>430</v>
      </c>
      <c r="AK112" s="225">
        <f>DATE(AL109,AL103,AK97)</f>
        <v>41670</v>
      </c>
      <c r="AL112" t="str">
        <f>TEXT(AK112,"dd/mm/yyyy")</f>
        <v>31/01/2014</v>
      </c>
      <c r="AM112" s="294">
        <v>3</v>
      </c>
      <c r="AO112" s="1" t="s">
        <v>486</v>
      </c>
      <c r="AP112">
        <f>M14</f>
        <v>0</v>
      </c>
      <c r="AQ112">
        <f>IF(AQ111=13,AP111,AP112)</f>
        <v>63.344</v>
      </c>
      <c r="AW112">
        <f>SUM(AW100:AW111)</f>
        <v>400</v>
      </c>
      <c r="AY112" s="1">
        <f>SUM(AY100:AY111)</f>
        <v>400</v>
      </c>
      <c r="BK112" s="227">
        <v>41640</v>
      </c>
      <c r="BL112">
        <v>27</v>
      </c>
    </row>
    <row r="113" spans="13:65" ht="16.5" hidden="1" thickBot="1" thickTop="1">
      <c r="M113" s="1"/>
      <c r="N113" s="1"/>
      <c r="O113" s="1">
        <v>14</v>
      </c>
      <c r="P113" s="1" t="s">
        <v>14</v>
      </c>
      <c r="Q113" s="1">
        <v>8</v>
      </c>
      <c r="R113" s="1">
        <v>1974</v>
      </c>
      <c r="U113" s="1">
        <v>12</v>
      </c>
      <c r="V113" s="1" t="s">
        <v>521</v>
      </c>
      <c r="W113">
        <v>3</v>
      </c>
      <c r="X113" s="1" t="s">
        <v>18</v>
      </c>
      <c r="Y113" s="1"/>
      <c r="AG113" s="5"/>
      <c r="AH113" s="5"/>
      <c r="AI113" s="1" t="s">
        <v>431</v>
      </c>
      <c r="AK113" s="9">
        <f>AK112-AJ114</f>
        <v>10</v>
      </c>
      <c r="AL113" s="9">
        <f>AK113+1</f>
        <v>11</v>
      </c>
      <c r="AM113" s="227">
        <f>VLOOKUP(AM112,AH114:AL125,5,FALSE)</f>
        <v>41699</v>
      </c>
      <c r="AQ113" s="1" t="s">
        <v>443</v>
      </c>
      <c r="AR113" s="1" t="s">
        <v>386</v>
      </c>
      <c r="AS113" s="1" t="s">
        <v>387</v>
      </c>
      <c r="AT113" s="1" t="s">
        <v>77</v>
      </c>
      <c r="AU113" s="1" t="s">
        <v>444</v>
      </c>
      <c r="AV113" s="1" t="s">
        <v>445</v>
      </c>
      <c r="AW113" s="1" t="s">
        <v>386</v>
      </c>
      <c r="AX113" s="1" t="s">
        <v>387</v>
      </c>
      <c r="AY113" s="1" t="s">
        <v>77</v>
      </c>
      <c r="AZ113" s="1" t="s">
        <v>446</v>
      </c>
      <c r="BA113" s="1" t="s">
        <v>447</v>
      </c>
      <c r="BB113" s="1" t="s">
        <v>448</v>
      </c>
      <c r="BC113" s="1" t="s">
        <v>449</v>
      </c>
      <c r="BD113" s="1" t="s">
        <v>450</v>
      </c>
      <c r="BE113" s="1" t="s">
        <v>451</v>
      </c>
      <c r="BF113" s="1" t="s">
        <v>452</v>
      </c>
      <c r="BG113" s="1" t="s">
        <v>491</v>
      </c>
      <c r="BI113" s="1"/>
      <c r="BJ113" s="1" t="s">
        <v>493</v>
      </c>
      <c r="BK113" s="1" t="s">
        <v>525</v>
      </c>
      <c r="BL113" s="1" t="s">
        <v>526</v>
      </c>
      <c r="BM113" s="1" t="s">
        <v>527</v>
      </c>
    </row>
    <row r="114" spans="14:65" ht="16.5" hidden="1" thickBot="1" thickTop="1">
      <c r="N114" s="1"/>
      <c r="O114" s="1">
        <v>15</v>
      </c>
      <c r="P114" s="1" t="s">
        <v>15</v>
      </c>
      <c r="Q114" s="1">
        <v>9</v>
      </c>
      <c r="R114" s="1">
        <v>1975</v>
      </c>
      <c r="U114" s="1">
        <v>13</v>
      </c>
      <c r="V114" t="s">
        <v>3</v>
      </c>
      <c r="W114">
        <v>1</v>
      </c>
      <c r="Y114" s="1"/>
      <c r="AH114">
        <v>1</v>
      </c>
      <c r="AI114" s="1" t="s">
        <v>429</v>
      </c>
      <c r="AJ114" s="225">
        <f>AB107</f>
        <v>41660</v>
      </c>
      <c r="AK114" s="225">
        <f>AK112+1</f>
        <v>41671</v>
      </c>
      <c r="AL114" s="227">
        <f>AJ114</f>
        <v>41660</v>
      </c>
      <c r="AM114" s="9" t="str">
        <f>CONCATENATE(AI115," - ",AL112)</f>
        <v>21 - 31/01/2014</v>
      </c>
      <c r="AO114" s="255" t="str">
        <f>AM114</f>
        <v>21 - 31/01/2014</v>
      </c>
      <c r="AP114" s="256"/>
      <c r="AQ114" s="256">
        <f>ROUND(AC112/AI116*AL113,0)</f>
        <v>5273</v>
      </c>
      <c r="AR114" s="256">
        <f>IF(AL114=AR111,ROUND(AQ114*AQ112%,0),ROUND(AQ114*AP$111/100,0))</f>
        <v>3340</v>
      </c>
      <c r="AS114" s="256">
        <f>ROUND(AQ114*AP110/100,0)</f>
        <v>633</v>
      </c>
      <c r="AT114" s="256">
        <f>SUM(AQ114:AS114)</f>
        <v>9246</v>
      </c>
      <c r="AU114" s="256">
        <f>AW100</f>
        <v>0</v>
      </c>
      <c r="AV114" s="256">
        <f>ROUND(AB110/AI116*AL113,0)</f>
        <v>4985</v>
      </c>
      <c r="AW114" s="256">
        <f>IF(AL114=AR111,ROUND(AV114*AQ112%,0),ROUND(AV114*AP$111/100,0))</f>
        <v>3158</v>
      </c>
      <c r="AX114" s="256">
        <f>ROUND(AV114*AP110/100,0)</f>
        <v>598</v>
      </c>
      <c r="AY114" s="256">
        <f>SUM(AV114:AX114)</f>
        <v>8741</v>
      </c>
      <c r="AZ114" s="256">
        <f>AY100</f>
        <v>0</v>
      </c>
      <c r="BA114" s="256">
        <f>AQ114-AV114</f>
        <v>288</v>
      </c>
      <c r="BB114" s="256">
        <f>AR114-AW114</f>
        <v>182</v>
      </c>
      <c r="BC114" s="256">
        <f>AS114-AX114</f>
        <v>35</v>
      </c>
      <c r="BD114" s="256">
        <f>AT114-AY114</f>
        <v>505</v>
      </c>
      <c r="BE114" s="256">
        <f>IF(AU114="","",AU114-AZ114)</f>
        <v>0</v>
      </c>
      <c r="BF114" s="257">
        <f>IF(AO114="","",BD114-BE114)</f>
        <v>505</v>
      </c>
      <c r="BG114">
        <f>IF(AO114="","",(BA114+BB114))</f>
        <v>470</v>
      </c>
      <c r="BH114">
        <f>IF(AO114="","",ROUND(BG114*10%,0))</f>
        <v>47</v>
      </c>
      <c r="BI114" s="1">
        <f>IF(V$128=1,0,BH114)</f>
        <v>0</v>
      </c>
      <c r="BJ114">
        <f>BD114-BE114-BI114</f>
        <v>505</v>
      </c>
      <c r="BK114">
        <f>IF(AM115&gt;=BK$112,ROUND(AQ114*BL$112%,0),"")</f>
        <v>1424</v>
      </c>
      <c r="BL114" s="1">
        <f>IF(AM115&gt;=BK$112,ROUND(AV114*BL$112%,0),"")</f>
        <v>1346</v>
      </c>
      <c r="BM114">
        <f>IF(BK114="","",BK114-BL114)</f>
        <v>78</v>
      </c>
    </row>
    <row r="115" spans="14:65" ht="16.5" hidden="1" thickBot="1" thickTop="1">
      <c r="N115" s="1"/>
      <c r="O115" s="1">
        <v>16</v>
      </c>
      <c r="P115" s="1" t="s">
        <v>16</v>
      </c>
      <c r="Q115" s="1">
        <v>10</v>
      </c>
      <c r="R115" s="1">
        <v>1976</v>
      </c>
      <c r="U115" s="1">
        <v>14</v>
      </c>
      <c r="V115" t="s">
        <v>50</v>
      </c>
      <c r="W115">
        <v>3</v>
      </c>
      <c r="Y115" s="1"/>
      <c r="AA115" s="250"/>
      <c r="AB115" s="251"/>
      <c r="AC115" s="251">
        <f>INT(AC116/10)</f>
        <v>0</v>
      </c>
      <c r="AD115" s="251">
        <f>INT(AC116-AC115*10)</f>
        <v>3</v>
      </c>
      <c r="AE115" s="251"/>
      <c r="AF115" s="251"/>
      <c r="AG115" s="231"/>
      <c r="AH115">
        <v>2</v>
      </c>
      <c r="AI115">
        <f>DAY(AJ114)</f>
        <v>21</v>
      </c>
      <c r="AJ115" t="str">
        <f>TEXT(AJ114,"DD/MM/YYYY")</f>
        <v>21/01/2014</v>
      </c>
      <c r="AK115" s="225">
        <f>DATE(YEAR(AK$114),MONTH(AK114)+1,DAY(AK$114))</f>
        <v>41699</v>
      </c>
      <c r="AL115" s="227">
        <f>AK114</f>
        <v>41671</v>
      </c>
      <c r="AM115" s="227">
        <f>IF(AL114&lt;=AM$113,AL114,"")</f>
        <v>41660</v>
      </c>
      <c r="AO115" s="258">
        <f>AM116</f>
        <v>41671</v>
      </c>
      <c r="AP115" s="259"/>
      <c r="AQ115" s="259">
        <f>IF(AO115="","",IF(AO115=AM116,AC$112,""))</f>
        <v>14860</v>
      </c>
      <c r="AR115" s="259">
        <f>IF(AO115="","",IF(AL115=AR$111,ROUND(AQ115*AQ$112%,0),ROUND(AQ115*AP$111/100,0)))</f>
        <v>9413</v>
      </c>
      <c r="AS115" s="259">
        <f>IF(AO115="","",IF(AO115=AL115,ROUND(AQ115*AP$110/100,0)))</f>
        <v>1783</v>
      </c>
      <c r="AT115" s="259">
        <f>IF(AO115="","",IF(AO115=AM116,SUM(AQ115:AS115),""))</f>
        <v>26056</v>
      </c>
      <c r="AU115" s="256">
        <f>AW101</f>
        <v>200</v>
      </c>
      <c r="AV115" s="259">
        <f>IF(AO115="","",IF(AO115=AM116,AB$110,""))</f>
        <v>14050</v>
      </c>
      <c r="AW115" s="259">
        <f>IF(AO115="","",IF(AL115=AR$111,ROUND(AV115*AQ$112%,0),ROUND(AV115*AP$111/100,0)))</f>
        <v>8900</v>
      </c>
      <c r="AX115" s="259">
        <f>IF(AO115="","",IF(AO115=AM116,ROUND(AV115*AP$110/100,0)))</f>
        <v>1686</v>
      </c>
      <c r="AY115" s="259">
        <f>IF(AO115="","",IF(AO115=AM116,SUM(AV115:AX115),""))</f>
        <v>24636</v>
      </c>
      <c r="AZ115" s="256">
        <f aca="true" t="shared" si="4" ref="AZ115:AZ126">AY101</f>
        <v>200</v>
      </c>
      <c r="BA115" s="259">
        <f>IF(AO115="","",IF(AO115=AM116,(AQ115-AV115),""))</f>
        <v>810</v>
      </c>
      <c r="BB115" s="259">
        <f>IF(AO115="","",IF(AO115=AM116,(AR115-AW115),""))</f>
        <v>513</v>
      </c>
      <c r="BC115" s="259">
        <f>IF(AO115="","",IF(AO115=AM116,(AS115-AX115),""))</f>
        <v>97</v>
      </c>
      <c r="BD115" s="259">
        <f>IF(AO115="","",IF(AO115=AM116,(AT115-AY115),""))</f>
        <v>1420</v>
      </c>
      <c r="BE115" s="259">
        <f>IF(AO115="","",IF(AO115=AM116,(AU115-AZ115),""))</f>
        <v>0</v>
      </c>
      <c r="BF115" s="260">
        <f>IF(AO115="","",IF(AO115=AM116,(BD115-BE115),""))</f>
        <v>1420</v>
      </c>
      <c r="BG115" s="1">
        <f aca="true" t="shared" si="5" ref="BG115:BG125">IF(AO115="","",(BA115+BB115))</f>
        <v>1323</v>
      </c>
      <c r="BH115" s="1">
        <f aca="true" t="shared" si="6" ref="BH115:BH125">IF(AO115="","",ROUND(BG115*10%,0))</f>
        <v>132</v>
      </c>
      <c r="BI115" s="1">
        <f aca="true" t="shared" si="7" ref="BI115:BI125">IF(V$128=1,0,BH115)</f>
        <v>0</v>
      </c>
      <c r="BJ115" s="1">
        <f>IF(AO115="","",BD115-BE115-BI115)</f>
        <v>1420</v>
      </c>
      <c r="BK115" s="1">
        <f>IF(AO115="","",IF(AO115&gt;=BK$112,ROUND(AQ115*BL$112%,0),BK114))</f>
        <v>4012</v>
      </c>
      <c r="BL115" s="1">
        <f>IF(AO115="","",IF(AO115&gt;=BK$112,ROUND(AV115*BL$112%,0),BK114))</f>
        <v>3794</v>
      </c>
      <c r="BM115" s="1">
        <f aca="true" t="shared" si="8" ref="BM115:BM125">IF(BK115="","",BK115-BL115)</f>
        <v>218</v>
      </c>
    </row>
    <row r="116" spans="14:65" ht="16.5" hidden="1" thickBot="1" thickTop="1">
      <c r="N116" s="1"/>
      <c r="O116" s="1">
        <v>17</v>
      </c>
      <c r="P116" s="1" t="s">
        <v>17</v>
      </c>
      <c r="Q116" s="1">
        <v>11</v>
      </c>
      <c r="R116" s="1">
        <v>1977</v>
      </c>
      <c r="U116" s="1">
        <v>15</v>
      </c>
      <c r="V116" t="s">
        <v>28</v>
      </c>
      <c r="W116">
        <v>2</v>
      </c>
      <c r="Y116" s="1"/>
      <c r="AA116" s="235" t="s">
        <v>270</v>
      </c>
      <c r="AB116" s="252">
        <f>AM113</f>
        <v>41699</v>
      </c>
      <c r="AC116" s="253">
        <f>MONTH(AB116)</f>
        <v>3</v>
      </c>
      <c r="AD116" s="253">
        <f>YEAR(AB116)</f>
        <v>2014</v>
      </c>
      <c r="AE116" s="253">
        <f>AD116-2000</f>
        <v>14</v>
      </c>
      <c r="AF116" s="253">
        <f>INT(AE116/10)</f>
        <v>1</v>
      </c>
      <c r="AG116" s="238">
        <f>INT(AE116-AF116*10)</f>
        <v>4</v>
      </c>
      <c r="AH116">
        <v>3</v>
      </c>
      <c r="AI116">
        <f>DAY(AK112)</f>
        <v>31</v>
      </c>
      <c r="AK116" s="225">
        <f>DATE(YEAR(AK$115),MONTH(AK115)+1,DAY(AK$114))</f>
        <v>41730</v>
      </c>
      <c r="AL116" s="227">
        <f>AK115</f>
        <v>41699</v>
      </c>
      <c r="AM116" s="227">
        <f>IF(AL115&lt;=AM$113,AL115,"")</f>
        <v>41671</v>
      </c>
      <c r="AO116" s="258">
        <f>AM117</f>
        <v>41699</v>
      </c>
      <c r="AP116" s="259"/>
      <c r="AQ116" s="259">
        <f>IF(AO116="","",IF(AO116=AM117,AC$112,""))</f>
        <v>14860</v>
      </c>
      <c r="AR116" s="259">
        <f>IF(AO116="","",IF(AL116=AR$111,ROUND(AQ116*AQ$112%,0),AR115))</f>
        <v>9413</v>
      </c>
      <c r="AS116" s="259">
        <f>IF(AO116="","",IF(AO116=AL116,ROUND(AQ116*AP$110/100,0)))</f>
        <v>1783</v>
      </c>
      <c r="AT116" s="259">
        <f>IF(AO116="","",IF(AO116=AM117,SUM(AQ116:AS116),""))</f>
        <v>26056</v>
      </c>
      <c r="AU116" s="256">
        <f aca="true" t="shared" si="9" ref="AU116:AU126">AW102</f>
        <v>200</v>
      </c>
      <c r="AV116" s="259">
        <f>IF(AO116="","",IF(AO116=AM117,AB$110,""))</f>
        <v>14050</v>
      </c>
      <c r="AW116" s="259">
        <f>IF(AO116="","",IF(AL116=AR$111,ROUND(AV116*AQ$112%,0),AW115))</f>
        <v>8900</v>
      </c>
      <c r="AX116" s="259">
        <f>IF(AO116="","",IF(AO116=AM117,ROUND(AV116*AP$110/100,0)))</f>
        <v>1686</v>
      </c>
      <c r="AY116" s="259">
        <f>IF(AO116="","",IF(AO116=AM117,SUM(AV116:AX116),""))</f>
        <v>24636</v>
      </c>
      <c r="AZ116" s="256">
        <f t="shared" si="4"/>
        <v>200</v>
      </c>
      <c r="BA116" s="259">
        <f>IF(AO116="","",IF(AO116=AM117,(AQ116-AV116),""))</f>
        <v>810</v>
      </c>
      <c r="BB116" s="259">
        <f>IF(AO116="","",IF(AO116=AM117,(AR116-AW116),""))</f>
        <v>513</v>
      </c>
      <c r="BC116" s="259">
        <f>IF(AO116="","",IF(AO116=AM117,(AS116-AX116),""))</f>
        <v>97</v>
      </c>
      <c r="BD116" s="259">
        <f>IF(AO116="","",IF(AO116=AM117,(AT116-AY116),""))</f>
        <v>1420</v>
      </c>
      <c r="BE116" s="259">
        <f>IF(AO116="","",IF(AO116=AM117,(AU116-AZ116),""))</f>
        <v>0</v>
      </c>
      <c r="BF116" s="260">
        <f>IF(AO116="","",IF(AO116=AM117,(BD116-BE116),""))</f>
        <v>1420</v>
      </c>
      <c r="BG116" s="1">
        <f t="shared" si="5"/>
        <v>1323</v>
      </c>
      <c r="BH116" s="1">
        <f t="shared" si="6"/>
        <v>132</v>
      </c>
      <c r="BI116" s="1">
        <f t="shared" si="7"/>
        <v>0</v>
      </c>
      <c r="BJ116" s="1">
        <f aca="true" t="shared" si="10" ref="BJ116:BJ125">IF(AO116="","",BD116-BE116-BI116)</f>
        <v>1420</v>
      </c>
      <c r="BK116" s="1">
        <f aca="true" t="shared" si="11" ref="BK116:BK125">IF(AO116="","",IF(AO116&gt;=BK$112,ROUND(AQ116*BL$112%,0),BK115))</f>
        <v>4012</v>
      </c>
      <c r="BL116" s="1">
        <f aca="true" t="shared" si="12" ref="BL116:BL125">IF(AO116="","",IF(AO116&gt;=BK$112,ROUND(AV116*BL$112%,0),BK115))</f>
        <v>3794</v>
      </c>
      <c r="BM116" s="1">
        <f t="shared" si="8"/>
        <v>218</v>
      </c>
    </row>
    <row r="117" spans="14:65" ht="16.5" hidden="1" thickBot="1" thickTop="1">
      <c r="N117" s="1"/>
      <c r="O117" s="1">
        <v>18</v>
      </c>
      <c r="P117" s="1" t="s">
        <v>18</v>
      </c>
      <c r="Q117" s="1">
        <v>12</v>
      </c>
      <c r="R117" s="1">
        <v>1978</v>
      </c>
      <c r="U117" s="1">
        <v>16</v>
      </c>
      <c r="V117" t="s">
        <v>26</v>
      </c>
      <c r="W117">
        <v>2</v>
      </c>
      <c r="Y117" s="225">
        <f ca="1">TODAY()</f>
        <v>41682</v>
      </c>
      <c r="Z117" s="294">
        <v>5</v>
      </c>
      <c r="AA117" s="294">
        <v>25</v>
      </c>
      <c r="AH117">
        <v>4</v>
      </c>
      <c r="AK117" s="225">
        <f>DATE(YEAR(AK$116),MONTH(AK116)+1,DAY(AK$114))</f>
        <v>41760</v>
      </c>
      <c r="AL117" s="227">
        <f>AK116</f>
        <v>41730</v>
      </c>
      <c r="AM117" s="227">
        <f>IF(AL116&lt;=AM$113,AL116,"")</f>
        <v>41699</v>
      </c>
      <c r="AO117" s="258">
        <f>AM118</f>
      </c>
      <c r="AP117" s="259"/>
      <c r="AQ117" s="259">
        <f>IF(AO117="","",IF(AO117=AM118,AC$112,""))</f>
      </c>
      <c r="AR117" s="259">
        <f aca="true" t="shared" si="13" ref="AR117:AR125">IF(AO117="","",IF(AL117=AR$111,ROUND(AQ117*AQ$112%,0),AR116))</f>
      </c>
      <c r="AS117" s="259">
        <f>IF(AO117="","",IF(AO117=AL117,ROUND(AQ117*AP$110/100,0)))</f>
      </c>
      <c r="AT117" s="259">
        <f>IF(AO117="","",IF(AO117=AM118,SUM(AQ117:AS117),""))</f>
      </c>
      <c r="AU117" s="256">
        <f t="shared" si="9"/>
        <v>0</v>
      </c>
      <c r="AV117" s="259">
        <f>IF(AO117="","",IF(AO117=AM118,AB$110,""))</f>
      </c>
      <c r="AW117" s="259">
        <f aca="true" t="shared" si="14" ref="AW117:AW125">IF(AO117="","",IF(AL117=AR$111,ROUND(AV117*AQ$112%,0),AW116))</f>
      </c>
      <c r="AX117" s="259">
        <f>IF(AO117="","",IF(AO117=AM118,ROUND(AV117*AP$110/100,0)))</f>
      </c>
      <c r="AY117" s="259">
        <f>IF(AO117="","",IF(AO117=AM118,SUM(AV117:AX117),""))</f>
      </c>
      <c r="AZ117" s="256">
        <f t="shared" si="4"/>
        <v>0</v>
      </c>
      <c r="BA117" s="259">
        <f>IF(AO117="","",IF(AO117=AM118,(AQ117-AV117),""))</f>
      </c>
      <c r="BB117" s="259">
        <f>IF(AO117="","",IF(AO117=AM118,(AR117-AW117),""))</f>
      </c>
      <c r="BC117" s="259">
        <f>IF(AO117="","",IF(AO117=AM118,(AS117-AX117),""))</f>
      </c>
      <c r="BD117" s="259">
        <f>IF(AO117="","",IF(AO117=AM118,(AT117-AY117),""))</f>
      </c>
      <c r="BE117" s="259">
        <f>IF(AO117="","",IF(AO117=AM118,(AU117-AZ117),""))</f>
      </c>
      <c r="BF117" s="260">
        <f>IF(AO117="","",IF(AO117=AM118,(BD117-BE117),""))</f>
      </c>
      <c r="BG117" s="1">
        <f t="shared" si="5"/>
      </c>
      <c r="BH117" s="1">
        <f t="shared" si="6"/>
      </c>
      <c r="BI117" s="1">
        <f t="shared" si="7"/>
        <v>0</v>
      </c>
      <c r="BJ117" s="1">
        <f t="shared" si="10"/>
      </c>
      <c r="BK117" s="1">
        <f t="shared" si="11"/>
      </c>
      <c r="BL117" s="1">
        <f t="shared" si="12"/>
      </c>
      <c r="BM117" s="1">
        <f t="shared" si="8"/>
      </c>
    </row>
    <row r="118" spans="14:65" ht="16.5" hidden="1" thickBot="1" thickTop="1">
      <c r="N118" s="1"/>
      <c r="O118" s="1">
        <v>19</v>
      </c>
      <c r="Q118" s="1">
        <v>13</v>
      </c>
      <c r="R118" s="1">
        <v>1979</v>
      </c>
      <c r="U118" s="1">
        <v>17</v>
      </c>
      <c r="V118" t="s">
        <v>27</v>
      </c>
      <c r="W118">
        <v>3</v>
      </c>
      <c r="X118" s="1" t="s">
        <v>469</v>
      </c>
      <c r="Y118" s="294">
        <v>10</v>
      </c>
      <c r="Z118" s="1" t="str">
        <f>VLOOKUP(Z117,U102:X113,4,FALSE)</f>
        <v>May</v>
      </c>
      <c r="AA118" s="1">
        <f>VLOOKUP(AA117,O100:R138,4,FALSE)</f>
        <v>1985</v>
      </c>
      <c r="AH118">
        <v>5</v>
      </c>
      <c r="AK118" s="225">
        <f>DATE(YEAR(AK$117),MONTH(AK117)+1,DAY(AK$114))</f>
        <v>41791</v>
      </c>
      <c r="AL118" s="227">
        <f>AK117</f>
        <v>41760</v>
      </c>
      <c r="AM118" s="227">
        <f>IF(AL117&lt;=AM$113,AL117,"")</f>
      </c>
      <c r="AO118" s="258">
        <f>AM119</f>
      </c>
      <c r="AP118" s="259"/>
      <c r="AQ118" s="259">
        <f>IF(AO118="","",IF(AO118=AM119,AC$112,""))</f>
      </c>
      <c r="AR118" s="259">
        <f t="shared" si="13"/>
      </c>
      <c r="AS118" s="259">
        <f>IF(AO118="","",IF(AO118=AL118,ROUND(AQ118*AP$110/100,0)))</f>
      </c>
      <c r="AT118" s="259">
        <f>IF(AO118="","",IF(AO118=AM119,SUM(AQ118:AS118),""))</f>
      </c>
      <c r="AU118" s="256">
        <f t="shared" si="9"/>
        <v>0</v>
      </c>
      <c r="AV118" s="259">
        <f>IF(AO118="","",IF(AO118=AM119,AB$110,""))</f>
      </c>
      <c r="AW118" s="259">
        <f t="shared" si="14"/>
      </c>
      <c r="AX118" s="259">
        <f>IF(AO118="","",IF(AO118=AM119,ROUND(AV118*AP$110/100,0)))</f>
      </c>
      <c r="AY118" s="259">
        <f>IF(AO118="","",IF(AO118=AM119,SUM(AV118:AX118),""))</f>
      </c>
      <c r="AZ118" s="256">
        <f t="shared" si="4"/>
        <v>0</v>
      </c>
      <c r="BA118" s="259">
        <f>IF(AO118="","",IF(AO118=AM119,(AQ118-AV118),""))</f>
      </c>
      <c r="BB118" s="259">
        <f>IF(AO118="","",IF(AO118=AM119,(AR118-AW118),""))</f>
      </c>
      <c r="BC118" s="259">
        <f>IF(AO118="","",IF(AO118=AM119,(AS118-AX118),""))</f>
      </c>
      <c r="BD118" s="259">
        <f>IF(AO118="","",IF(AO118=AM119,(AT118-AY118),""))</f>
      </c>
      <c r="BE118" s="259">
        <f>IF(AO118="","",IF(AO118=AM119,(AU118-AZ118),""))</f>
      </c>
      <c r="BF118" s="260">
        <f>IF(AO118="","",IF(AO118=AM119,(BD118-BE118),""))</f>
      </c>
      <c r="BG118" s="1">
        <f t="shared" si="5"/>
      </c>
      <c r="BH118" s="1">
        <f t="shared" si="6"/>
      </c>
      <c r="BI118" s="1">
        <f t="shared" si="7"/>
        <v>0</v>
      </c>
      <c r="BJ118" s="1">
        <f t="shared" si="10"/>
      </c>
      <c r="BK118" s="1">
        <f t="shared" si="11"/>
      </c>
      <c r="BL118" s="1">
        <f t="shared" si="12"/>
      </c>
      <c r="BM118" s="1">
        <f t="shared" si="8"/>
      </c>
    </row>
    <row r="119" spans="14:65" ht="16.5" hidden="1" thickBot="1" thickTop="1">
      <c r="N119" s="1"/>
      <c r="O119" s="1">
        <v>20</v>
      </c>
      <c r="Q119" s="1">
        <v>14</v>
      </c>
      <c r="R119" s="1">
        <v>1980</v>
      </c>
      <c r="U119" s="1">
        <v>18</v>
      </c>
      <c r="V119" s="1" t="s">
        <v>516</v>
      </c>
      <c r="W119">
        <v>4</v>
      </c>
      <c r="Y119" s="225">
        <f>DATE(AA118,Z117,Y118)</f>
        <v>31177</v>
      </c>
      <c r="AD119" s="1"/>
      <c r="AH119" s="1">
        <v>6</v>
      </c>
      <c r="AK119" s="225">
        <f>DATE(YEAR(AK$118),MONTH(AK118)+1,DAY(AK$114))</f>
        <v>41821</v>
      </c>
      <c r="AL119" s="227">
        <f aca="true" t="shared" si="15" ref="AL119:AL125">AK118</f>
        <v>41791</v>
      </c>
      <c r="AM119" s="227">
        <f>IF(AL118&lt;=AM$113,AL118,"")</f>
      </c>
      <c r="AO119" s="258">
        <f aca="true" t="shared" si="16" ref="AO119:AO125">AM120</f>
      </c>
      <c r="AQ119" s="259">
        <f aca="true" t="shared" si="17" ref="AQ119:AQ125">IF(AO119="","",IF(AO119=AM120,AC$112,""))</f>
      </c>
      <c r="AR119" s="259">
        <f t="shared" si="13"/>
      </c>
      <c r="AS119" s="259">
        <f aca="true" t="shared" si="18" ref="AS119:AS125">IF(AO119="","",IF(AO119=AL119,ROUND(AQ119*AP$110/100,0)))</f>
      </c>
      <c r="AT119" s="259">
        <f aca="true" t="shared" si="19" ref="AT119:AT125">IF(AO119="","",IF(AO119=AM120,SUM(AQ119:AS119),""))</f>
      </c>
      <c r="AU119" s="256">
        <f t="shared" si="9"/>
        <v>0</v>
      </c>
      <c r="AV119" s="259">
        <f aca="true" t="shared" si="20" ref="AV119:AV125">IF(AO119="","",IF(AO119=AM120,AB$110,""))</f>
      </c>
      <c r="AW119" s="259">
        <f t="shared" si="14"/>
      </c>
      <c r="AX119" s="259">
        <f aca="true" t="shared" si="21" ref="AX119:AX125">IF(AO119="","",IF(AO119=AM120,ROUND(AV119*AP$110/100,0)))</f>
      </c>
      <c r="AY119" s="259">
        <f aca="true" t="shared" si="22" ref="AY119:AY125">IF(AO119="","",IF(AO119=AM120,SUM(AV119:AX119),""))</f>
      </c>
      <c r="AZ119" s="256">
        <f t="shared" si="4"/>
        <v>0</v>
      </c>
      <c r="BA119" s="259">
        <f aca="true" t="shared" si="23" ref="BA119:BA125">IF(AO119="","",IF(AO119=AM120,(AQ119-AV119),""))</f>
      </c>
      <c r="BB119" s="259">
        <f aca="true" t="shared" si="24" ref="BB119:BB125">IF(AO119="","",IF(AO119=AM120,(AR119-AW119),""))</f>
      </c>
      <c r="BC119" s="259">
        <f aca="true" t="shared" si="25" ref="BC119:BC125">IF(AO119="","",IF(AO119=AM120,(AS119-AX119),""))</f>
      </c>
      <c r="BD119" s="259">
        <f aca="true" t="shared" si="26" ref="BD119:BD125">IF(AO119="","",IF(AO119=AM120,(AT119-AY119),""))</f>
      </c>
      <c r="BE119" s="259">
        <f aca="true" t="shared" si="27" ref="BE119:BE125">IF(AO119="","",IF(AO119=AM120,(AU119-AZ119),""))</f>
      </c>
      <c r="BF119" s="260">
        <f aca="true" t="shared" si="28" ref="BF119:BF125">IF(AO119="","",IF(AO119=AM120,(BD119-BE119),""))</f>
      </c>
      <c r="BG119" s="1">
        <f t="shared" si="5"/>
      </c>
      <c r="BH119" s="1">
        <f t="shared" si="6"/>
      </c>
      <c r="BI119" s="1">
        <f t="shared" si="7"/>
        <v>0</v>
      </c>
      <c r="BJ119" s="1">
        <f>IF(AO119="","",BD119-BE119-BI119)</f>
      </c>
      <c r="BK119" s="1">
        <f t="shared" si="11"/>
      </c>
      <c r="BL119" s="1">
        <f t="shared" si="12"/>
      </c>
      <c r="BM119" s="1">
        <f t="shared" si="8"/>
      </c>
    </row>
    <row r="120" spans="14:65" ht="16.5" hidden="1" thickBot="1" thickTop="1">
      <c r="N120" s="1"/>
      <c r="O120" s="1">
        <v>21</v>
      </c>
      <c r="Q120" s="1">
        <v>15</v>
      </c>
      <c r="R120" s="1">
        <v>1981</v>
      </c>
      <c r="V120" t="str">
        <f>VLOOKUP(W120,U102:V119,2,FALSE)</f>
        <v>S.G.T.</v>
      </c>
      <c r="W120" s="294">
        <v>10</v>
      </c>
      <c r="Y120" s="1" t="s">
        <v>454</v>
      </c>
      <c r="Z120" s="1" t="str">
        <f>DATEDIF(Y119,Y117,"y")&amp;"  years "&amp;DATEDIF(Y119,Y117,"ym")&amp;" months  and "&amp;DATEDIF(Y119,Y117,"md")&amp;" days. "</f>
        <v>28  years 9 months  and 2 days. </v>
      </c>
      <c r="AD120" s="445" t="str">
        <f>IF(AND(AC111=3,AE111&gt;=12),"Need to Required Qualification are three years Degree &amp; Professional course or PAT",IF(AND(AC111=2,AE111&gt;=12),"Need to Departmental tests Pass is Eligible","Need not qualification &amp; Departmental tests Pass"))</f>
        <v>Need to Required Qualification are three years Degree &amp; Professional course or PAT</v>
      </c>
      <c r="AE120" s="445"/>
      <c r="AF120" s="445"/>
      <c r="AG120" s="445"/>
      <c r="AH120" s="1">
        <v>7</v>
      </c>
      <c r="AK120" s="225">
        <f>DATE(YEAR(AK$119),MONTH(AK119)+1,DAY(AK$114))</f>
        <v>41852</v>
      </c>
      <c r="AL120" s="227">
        <f t="shared" si="15"/>
        <v>41821</v>
      </c>
      <c r="AM120" s="227">
        <f aca="true" t="shared" si="29" ref="AM120:AM126">IF(AL119&lt;=AM$113,AL119,"")</f>
      </c>
      <c r="AO120" s="258">
        <f t="shared" si="16"/>
      </c>
      <c r="AQ120" s="259">
        <f t="shared" si="17"/>
      </c>
      <c r="AR120" s="259">
        <f t="shared" si="13"/>
      </c>
      <c r="AS120" s="259">
        <f t="shared" si="18"/>
      </c>
      <c r="AT120" s="259">
        <f t="shared" si="19"/>
      </c>
      <c r="AU120" s="256">
        <f t="shared" si="9"/>
        <v>0</v>
      </c>
      <c r="AV120" s="259">
        <f t="shared" si="20"/>
      </c>
      <c r="AW120" s="259">
        <f t="shared" si="14"/>
      </c>
      <c r="AX120" s="259">
        <f t="shared" si="21"/>
      </c>
      <c r="AY120" s="259">
        <f t="shared" si="22"/>
      </c>
      <c r="AZ120" s="256">
        <f t="shared" si="4"/>
        <v>0</v>
      </c>
      <c r="BA120" s="259">
        <f t="shared" si="23"/>
      </c>
      <c r="BB120" s="259">
        <f t="shared" si="24"/>
      </c>
      <c r="BC120" s="259">
        <f t="shared" si="25"/>
      </c>
      <c r="BD120" s="259">
        <f t="shared" si="26"/>
      </c>
      <c r="BE120" s="259">
        <f t="shared" si="27"/>
      </c>
      <c r="BF120" s="260">
        <f t="shared" si="28"/>
      </c>
      <c r="BG120" s="1">
        <f t="shared" si="5"/>
      </c>
      <c r="BH120" s="1">
        <f t="shared" si="6"/>
      </c>
      <c r="BI120" s="1">
        <f t="shared" si="7"/>
        <v>0</v>
      </c>
      <c r="BJ120" s="1">
        <f>IF(AO120="","",BD120-BE120-BI120)</f>
      </c>
      <c r="BK120" s="1">
        <f t="shared" si="11"/>
      </c>
      <c r="BL120" s="1">
        <f t="shared" si="12"/>
      </c>
      <c r="BM120" s="1">
        <f t="shared" si="8"/>
      </c>
    </row>
    <row r="121" spans="14:65" ht="16.5" hidden="1" thickBot="1" thickTop="1">
      <c r="N121" s="1"/>
      <c r="O121" s="1">
        <v>22</v>
      </c>
      <c r="Q121" s="1">
        <v>16</v>
      </c>
      <c r="R121" s="1">
        <v>1982</v>
      </c>
      <c r="V121" t="str">
        <f>IF(W121=2,"School Asst.",IF(W121=1," Head Master",IF(W121=3,"S.G.T/LP"," Others")))</f>
        <v>S.G.T/LP</v>
      </c>
      <c r="W121">
        <f>VLOOKUP(V120,V102:W119,2,FALSE)</f>
        <v>3</v>
      </c>
      <c r="Y121" s="1" t="s">
        <v>455</v>
      </c>
      <c r="Z121" s="1" t="str">
        <f>DATEDIF(AJ107,Y117,"y")&amp;"  years "&amp;DATEDIF(AJ107,Y117,"ym")&amp;" months  and "&amp;DATEDIF(AJ107,Y117,"md")&amp;" days. "</f>
        <v>12  years 0 months  and 19 days. </v>
      </c>
      <c r="AD121" s="445"/>
      <c r="AE121" s="445"/>
      <c r="AF121" s="445"/>
      <c r="AG121" s="445"/>
      <c r="AH121" s="1">
        <v>8</v>
      </c>
      <c r="AK121" s="225">
        <f>DATE(YEAR(AK$120),MONTH(AK120)+1,DAY(AK$114))</f>
        <v>41883</v>
      </c>
      <c r="AL121" s="227">
        <f t="shared" si="15"/>
        <v>41852</v>
      </c>
      <c r="AM121" s="227">
        <f t="shared" si="29"/>
      </c>
      <c r="AO121" s="258">
        <f t="shared" si="16"/>
      </c>
      <c r="AQ121" s="259">
        <f t="shared" si="17"/>
      </c>
      <c r="AR121" s="259">
        <f t="shared" si="13"/>
      </c>
      <c r="AS121" s="259">
        <f t="shared" si="18"/>
      </c>
      <c r="AT121" s="259">
        <f t="shared" si="19"/>
      </c>
      <c r="AU121" s="256">
        <f t="shared" si="9"/>
        <v>0</v>
      </c>
      <c r="AV121" s="259">
        <f t="shared" si="20"/>
      </c>
      <c r="AW121" s="259">
        <f t="shared" si="14"/>
      </c>
      <c r="AX121" s="259">
        <f t="shared" si="21"/>
      </c>
      <c r="AY121" s="259">
        <f t="shared" si="22"/>
      </c>
      <c r="AZ121" s="256">
        <f t="shared" si="4"/>
        <v>0</v>
      </c>
      <c r="BA121" s="259">
        <f t="shared" si="23"/>
      </c>
      <c r="BB121" s="259">
        <f t="shared" si="24"/>
      </c>
      <c r="BC121" s="259">
        <f t="shared" si="25"/>
      </c>
      <c r="BD121" s="259">
        <f t="shared" si="26"/>
      </c>
      <c r="BE121" s="259">
        <f t="shared" si="27"/>
      </c>
      <c r="BF121" s="260">
        <f t="shared" si="28"/>
      </c>
      <c r="BG121" s="1">
        <f t="shared" si="5"/>
      </c>
      <c r="BH121" s="1">
        <f t="shared" si="6"/>
      </c>
      <c r="BI121" s="1">
        <f t="shared" si="7"/>
        <v>0</v>
      </c>
      <c r="BJ121" s="1">
        <f t="shared" si="10"/>
      </c>
      <c r="BK121" s="1">
        <f t="shared" si="11"/>
      </c>
      <c r="BL121" s="1">
        <f t="shared" si="12"/>
      </c>
      <c r="BM121" s="1">
        <f t="shared" si="8"/>
      </c>
    </row>
    <row r="122" spans="14:65" ht="16.5" hidden="1" thickBot="1" thickTop="1">
      <c r="N122" s="1"/>
      <c r="O122" s="1">
        <v>23</v>
      </c>
      <c r="Q122" s="1">
        <v>17</v>
      </c>
      <c r="R122" s="1">
        <v>1983</v>
      </c>
      <c r="AD122" s="3"/>
      <c r="AE122" s="3"/>
      <c r="AF122" s="3"/>
      <c r="AG122" s="3"/>
      <c r="AH122" s="1">
        <v>9</v>
      </c>
      <c r="AK122" s="225">
        <f>DATE(YEAR(AK$121),MONTH(AK121)+1,DAY(AK$114))</f>
        <v>41913</v>
      </c>
      <c r="AL122" s="227">
        <f t="shared" si="15"/>
        <v>41883</v>
      </c>
      <c r="AM122" s="227">
        <f t="shared" si="29"/>
      </c>
      <c r="AO122" s="258">
        <f t="shared" si="16"/>
      </c>
      <c r="AQ122" s="259">
        <f t="shared" si="17"/>
      </c>
      <c r="AR122" s="259">
        <f t="shared" si="13"/>
      </c>
      <c r="AS122" s="259">
        <f t="shared" si="18"/>
      </c>
      <c r="AT122" s="259">
        <f t="shared" si="19"/>
      </c>
      <c r="AU122" s="256">
        <f t="shared" si="9"/>
        <v>0</v>
      </c>
      <c r="AV122" s="259">
        <f t="shared" si="20"/>
      </c>
      <c r="AW122" s="259">
        <f t="shared" si="14"/>
      </c>
      <c r="AX122" s="259">
        <f t="shared" si="21"/>
      </c>
      <c r="AY122" s="259">
        <f t="shared" si="22"/>
      </c>
      <c r="AZ122" s="256">
        <f t="shared" si="4"/>
        <v>0</v>
      </c>
      <c r="BA122" s="259">
        <f t="shared" si="23"/>
      </c>
      <c r="BB122" s="259">
        <f t="shared" si="24"/>
      </c>
      <c r="BC122" s="259">
        <f t="shared" si="25"/>
      </c>
      <c r="BD122" s="259">
        <f t="shared" si="26"/>
      </c>
      <c r="BE122" s="259">
        <f t="shared" si="27"/>
      </c>
      <c r="BF122" s="260">
        <f t="shared" si="28"/>
      </c>
      <c r="BG122" s="1">
        <f t="shared" si="5"/>
      </c>
      <c r="BH122" s="1">
        <f t="shared" si="6"/>
      </c>
      <c r="BI122" s="1">
        <f t="shared" si="7"/>
        <v>0</v>
      </c>
      <c r="BJ122" s="1">
        <f t="shared" si="10"/>
      </c>
      <c r="BK122" s="1">
        <f t="shared" si="11"/>
      </c>
      <c r="BL122" s="1">
        <f t="shared" si="12"/>
      </c>
      <c r="BM122" s="1">
        <f t="shared" si="8"/>
      </c>
    </row>
    <row r="123" spans="14:65" ht="16.5" hidden="1" thickBot="1" thickTop="1">
      <c r="N123" s="1"/>
      <c r="O123" s="1">
        <v>24</v>
      </c>
      <c r="Q123" s="1">
        <v>18</v>
      </c>
      <c r="R123" s="1">
        <v>1984</v>
      </c>
      <c r="X123">
        <v>1</v>
      </c>
      <c r="Y123" s="254">
        <v>10900</v>
      </c>
      <c r="Z123" s="254">
        <v>14860</v>
      </c>
      <c r="AA123" s="254">
        <v>18030</v>
      </c>
      <c r="AB123" s="254">
        <v>19050</v>
      </c>
      <c r="AC123" s="254">
        <v>11200</v>
      </c>
      <c r="AD123" s="3"/>
      <c r="AE123" s="224"/>
      <c r="AF123" s="224"/>
      <c r="AG123" s="224"/>
      <c r="AH123" s="1">
        <v>10</v>
      </c>
      <c r="AK123" s="225">
        <f>DATE(YEAR(AK$122),MONTH(AK122)+1,DAY(AK$114))</f>
        <v>41944</v>
      </c>
      <c r="AL123" s="227">
        <f t="shared" si="15"/>
        <v>41913</v>
      </c>
      <c r="AM123" s="227">
        <f t="shared" si="29"/>
      </c>
      <c r="AO123" s="258">
        <f t="shared" si="16"/>
      </c>
      <c r="AQ123" s="259">
        <f t="shared" si="17"/>
      </c>
      <c r="AR123" s="259">
        <f t="shared" si="13"/>
      </c>
      <c r="AS123" s="259">
        <f t="shared" si="18"/>
      </c>
      <c r="AT123" s="259">
        <f t="shared" si="19"/>
      </c>
      <c r="AU123" s="256">
        <f t="shared" si="9"/>
        <v>0</v>
      </c>
      <c r="AV123" s="259">
        <f t="shared" si="20"/>
      </c>
      <c r="AW123" s="259">
        <f t="shared" si="14"/>
      </c>
      <c r="AX123" s="259">
        <f t="shared" si="21"/>
      </c>
      <c r="AY123" s="259">
        <f t="shared" si="22"/>
      </c>
      <c r="AZ123" s="256">
        <f t="shared" si="4"/>
        <v>0</v>
      </c>
      <c r="BA123" s="259">
        <f t="shared" si="23"/>
      </c>
      <c r="BB123" s="259">
        <f t="shared" si="24"/>
      </c>
      <c r="BC123" s="259">
        <f t="shared" si="25"/>
      </c>
      <c r="BD123" s="259">
        <f t="shared" si="26"/>
      </c>
      <c r="BE123" s="259">
        <f t="shared" si="27"/>
      </c>
      <c r="BF123" s="260">
        <f t="shared" si="28"/>
      </c>
      <c r="BG123" s="1">
        <f t="shared" si="5"/>
      </c>
      <c r="BH123" s="1">
        <f t="shared" si="6"/>
      </c>
      <c r="BI123" s="1">
        <f t="shared" si="7"/>
        <v>0</v>
      </c>
      <c r="BJ123" s="1">
        <f t="shared" si="10"/>
      </c>
      <c r="BK123" s="1">
        <f t="shared" si="11"/>
      </c>
      <c r="BL123" s="1">
        <f t="shared" si="12"/>
      </c>
      <c r="BM123" s="1">
        <f t="shared" si="8"/>
      </c>
    </row>
    <row r="124" spans="12:65" ht="16.5" hidden="1" thickBot="1" thickTop="1">
      <c r="L124">
        <v>1</v>
      </c>
      <c r="N124" s="1"/>
      <c r="O124" s="1">
        <v>25</v>
      </c>
      <c r="Q124" s="1">
        <v>19</v>
      </c>
      <c r="R124" s="1">
        <v>1985</v>
      </c>
      <c r="X124">
        <v>2</v>
      </c>
      <c r="Y124" s="254">
        <v>11200</v>
      </c>
      <c r="Z124" s="254">
        <v>14860</v>
      </c>
      <c r="AA124" s="254">
        <v>18030</v>
      </c>
      <c r="AB124" s="254">
        <v>19050</v>
      </c>
      <c r="AC124" s="254">
        <v>11530</v>
      </c>
      <c r="AD124" s="3"/>
      <c r="AE124" s="224"/>
      <c r="AF124" s="224"/>
      <c r="AG124" s="224"/>
      <c r="AH124" s="1">
        <v>11</v>
      </c>
      <c r="AK124" s="225">
        <f>DATE(YEAR(AK$123),MONTH(AK123)+1,DAY(AK$114))</f>
        <v>41974</v>
      </c>
      <c r="AL124" s="227">
        <f t="shared" si="15"/>
        <v>41944</v>
      </c>
      <c r="AM124" s="227">
        <f t="shared" si="29"/>
      </c>
      <c r="AO124" s="258">
        <f t="shared" si="16"/>
      </c>
      <c r="AQ124" s="259">
        <f t="shared" si="17"/>
      </c>
      <c r="AR124" s="259">
        <f t="shared" si="13"/>
      </c>
      <c r="AS124" s="259">
        <f t="shared" si="18"/>
      </c>
      <c r="AT124" s="259">
        <f t="shared" si="19"/>
      </c>
      <c r="AU124" s="256">
        <f t="shared" si="9"/>
        <v>0</v>
      </c>
      <c r="AV124" s="259">
        <f t="shared" si="20"/>
      </c>
      <c r="AW124" s="259">
        <f t="shared" si="14"/>
      </c>
      <c r="AX124" s="259">
        <f t="shared" si="21"/>
      </c>
      <c r="AY124" s="259">
        <f t="shared" si="22"/>
      </c>
      <c r="AZ124" s="256">
        <f t="shared" si="4"/>
        <v>0</v>
      </c>
      <c r="BA124" s="259">
        <f t="shared" si="23"/>
      </c>
      <c r="BB124" s="259">
        <f t="shared" si="24"/>
      </c>
      <c r="BC124" s="259">
        <f t="shared" si="25"/>
      </c>
      <c r="BD124" s="259">
        <f t="shared" si="26"/>
      </c>
      <c r="BE124" s="259">
        <f t="shared" si="27"/>
      </c>
      <c r="BF124" s="260">
        <f t="shared" si="28"/>
      </c>
      <c r="BG124" s="1">
        <f t="shared" si="5"/>
      </c>
      <c r="BH124" s="1">
        <f t="shared" si="6"/>
      </c>
      <c r="BI124" s="1">
        <f t="shared" si="7"/>
        <v>0</v>
      </c>
      <c r="BJ124" s="1">
        <f t="shared" si="10"/>
      </c>
      <c r="BK124" s="1">
        <f t="shared" si="11"/>
      </c>
      <c r="BL124" s="1">
        <f t="shared" si="12"/>
      </c>
      <c r="BM124" s="1">
        <f t="shared" si="8"/>
      </c>
    </row>
    <row r="125" spans="12:65" ht="16.5" hidden="1" thickBot="1" thickTop="1">
      <c r="L125">
        <v>2</v>
      </c>
      <c r="N125" s="1"/>
      <c r="O125" s="1">
        <v>26</v>
      </c>
      <c r="Q125" s="1">
        <v>20</v>
      </c>
      <c r="R125" s="1">
        <v>1986</v>
      </c>
      <c r="X125" s="1">
        <v>3</v>
      </c>
      <c r="Y125" s="254">
        <v>11530</v>
      </c>
      <c r="Z125" s="254">
        <v>14860</v>
      </c>
      <c r="AA125" s="254">
        <v>18030</v>
      </c>
      <c r="AB125" s="254">
        <v>19050</v>
      </c>
      <c r="AC125" s="254">
        <v>11860</v>
      </c>
      <c r="AD125" s="3"/>
      <c r="AE125" s="224"/>
      <c r="AF125" s="224"/>
      <c r="AG125" s="224"/>
      <c r="AH125" s="1">
        <v>12</v>
      </c>
      <c r="AL125" s="227">
        <f t="shared" si="15"/>
        <v>41974</v>
      </c>
      <c r="AM125" s="227">
        <f t="shared" si="29"/>
      </c>
      <c r="AO125" s="258">
        <f t="shared" si="16"/>
      </c>
      <c r="AQ125" s="259">
        <f t="shared" si="17"/>
      </c>
      <c r="AR125" s="259">
        <f t="shared" si="13"/>
      </c>
      <c r="AS125" s="259">
        <f t="shared" si="18"/>
      </c>
      <c r="AT125" s="259">
        <f t="shared" si="19"/>
      </c>
      <c r="AU125" s="256">
        <f t="shared" si="9"/>
        <v>0</v>
      </c>
      <c r="AV125" s="259">
        <f t="shared" si="20"/>
      </c>
      <c r="AW125" s="259">
        <f t="shared" si="14"/>
      </c>
      <c r="AX125" s="259">
        <f t="shared" si="21"/>
      </c>
      <c r="AY125" s="259">
        <f t="shared" si="22"/>
      </c>
      <c r="AZ125" s="256">
        <f t="shared" si="4"/>
        <v>0</v>
      </c>
      <c r="BA125" s="259">
        <f t="shared" si="23"/>
      </c>
      <c r="BB125" s="259">
        <f t="shared" si="24"/>
      </c>
      <c r="BC125" s="259">
        <f t="shared" si="25"/>
      </c>
      <c r="BD125" s="259">
        <f t="shared" si="26"/>
      </c>
      <c r="BE125" s="259">
        <f t="shared" si="27"/>
      </c>
      <c r="BF125" s="260">
        <f t="shared" si="28"/>
      </c>
      <c r="BG125" s="1">
        <f t="shared" si="5"/>
      </c>
      <c r="BH125" s="1">
        <f t="shared" si="6"/>
      </c>
      <c r="BI125" s="1">
        <f t="shared" si="7"/>
        <v>0</v>
      </c>
      <c r="BJ125" s="1">
        <f t="shared" si="10"/>
      </c>
      <c r="BK125" s="1">
        <f t="shared" si="11"/>
      </c>
      <c r="BL125" s="1">
        <f t="shared" si="12"/>
      </c>
      <c r="BM125" s="1">
        <f t="shared" si="8"/>
      </c>
    </row>
    <row r="126" spans="12:62" ht="16.5" hidden="1" thickBot="1" thickTop="1">
      <c r="L126" s="1">
        <v>3</v>
      </c>
      <c r="N126" s="1"/>
      <c r="O126" s="1">
        <v>27</v>
      </c>
      <c r="Q126" s="1">
        <v>21</v>
      </c>
      <c r="R126" s="1">
        <v>1987</v>
      </c>
      <c r="S126" s="1">
        <v>1</v>
      </c>
      <c r="T126" s="1" t="s">
        <v>474</v>
      </c>
      <c r="U126" s="1" t="s">
        <v>490</v>
      </c>
      <c r="X126" s="1">
        <v>4</v>
      </c>
      <c r="Y126" s="254">
        <v>11860</v>
      </c>
      <c r="Z126" s="254">
        <v>14860</v>
      </c>
      <c r="AA126" s="254">
        <v>18030</v>
      </c>
      <c r="AB126" s="254">
        <v>19050</v>
      </c>
      <c r="AC126" s="254">
        <v>12190</v>
      </c>
      <c r="AD126" s="3"/>
      <c r="AE126" s="224"/>
      <c r="AF126" s="224"/>
      <c r="AG126" s="224"/>
      <c r="AH126" s="3">
        <v>13</v>
      </c>
      <c r="AL126" s="1" t="s">
        <v>484</v>
      </c>
      <c r="AM126" s="227">
        <f t="shared" si="29"/>
      </c>
      <c r="AP126" s="261"/>
      <c r="AQ126" s="261">
        <f>SUBTOTAL(9,AQ114:AQ125)</f>
        <v>34993</v>
      </c>
      <c r="AR126" s="261">
        <f>SUBTOTAL(9,AR114:AR125)</f>
        <v>22166</v>
      </c>
      <c r="AS126" s="261">
        <f>SUBTOTAL(9,AS114:AS125)</f>
        <v>4199</v>
      </c>
      <c r="AT126" s="261">
        <f>SUBTOTAL(9,AT114:AT125)</f>
        <v>61358</v>
      </c>
      <c r="AU126" s="256">
        <f t="shared" si="9"/>
        <v>400</v>
      </c>
      <c r="AV126" s="261">
        <f>SUBTOTAL(9,AV114:AV125)</f>
        <v>33085</v>
      </c>
      <c r="AW126" s="261">
        <f>SUBTOTAL(9,AW114:AW125)</f>
        <v>20958</v>
      </c>
      <c r="AX126" s="261">
        <f>SUBTOTAL(9,AX114:AX125)</f>
        <v>3970</v>
      </c>
      <c r="AY126" s="261">
        <f>SUBTOTAL(9,AY114:AY125)</f>
        <v>58013</v>
      </c>
      <c r="AZ126" s="256">
        <f t="shared" si="4"/>
        <v>400</v>
      </c>
      <c r="BA126" s="261">
        <f aca="true" t="shared" si="30" ref="BA126:BF126">SUBTOTAL(9,BA114:BA125)</f>
        <v>1908</v>
      </c>
      <c r="BB126" s="261">
        <f t="shared" si="30"/>
        <v>1208</v>
      </c>
      <c r="BC126" s="261">
        <f t="shared" si="30"/>
        <v>229</v>
      </c>
      <c r="BD126" s="261">
        <f t="shared" si="30"/>
        <v>3345</v>
      </c>
      <c r="BE126" s="261">
        <f t="shared" si="30"/>
        <v>0</v>
      </c>
      <c r="BF126" s="262">
        <f t="shared" si="30"/>
        <v>3345</v>
      </c>
      <c r="BH126">
        <f>SUM(BH114:BH125)</f>
        <v>311</v>
      </c>
      <c r="BI126" s="1">
        <f>IF(V$128=1,0,BH126)</f>
        <v>0</v>
      </c>
      <c r="BJ126">
        <f>SUM(BJ114:BJ125)</f>
        <v>3345</v>
      </c>
    </row>
    <row r="127" spans="12:34" ht="15.75" hidden="1" thickTop="1">
      <c r="L127" s="1">
        <v>4</v>
      </c>
      <c r="N127" s="1"/>
      <c r="O127" s="1">
        <v>28</v>
      </c>
      <c r="Q127" s="1">
        <v>22</v>
      </c>
      <c r="R127" s="1">
        <v>1988</v>
      </c>
      <c r="S127" s="1">
        <v>2</v>
      </c>
      <c r="T127" s="1" t="s">
        <v>475</v>
      </c>
      <c r="U127" s="1" t="s">
        <v>491</v>
      </c>
      <c r="X127" s="1">
        <v>5</v>
      </c>
      <c r="Y127" s="254">
        <v>12190</v>
      </c>
      <c r="Z127" s="254">
        <v>14860</v>
      </c>
      <c r="AA127" s="254">
        <v>18030</v>
      </c>
      <c r="AB127" s="254">
        <v>19050</v>
      </c>
      <c r="AC127" s="254">
        <v>12550</v>
      </c>
      <c r="AD127" s="3"/>
      <c r="AE127" s="224"/>
      <c r="AF127" s="224"/>
      <c r="AG127" s="224"/>
      <c r="AH127" s="3"/>
    </row>
    <row r="128" spans="12:34" ht="15" hidden="1">
      <c r="L128" s="1">
        <v>5</v>
      </c>
      <c r="N128" s="1"/>
      <c r="O128" s="1">
        <v>29</v>
      </c>
      <c r="Q128" s="1">
        <v>23</v>
      </c>
      <c r="R128" s="1">
        <v>1989</v>
      </c>
      <c r="S128" s="1">
        <v>3</v>
      </c>
      <c r="T128" s="1" t="s">
        <v>476</v>
      </c>
      <c r="V128" s="294">
        <v>1</v>
      </c>
      <c r="X128" s="1">
        <v>6</v>
      </c>
      <c r="Y128" s="254">
        <v>12550</v>
      </c>
      <c r="Z128" s="254">
        <v>14860</v>
      </c>
      <c r="AA128" s="254">
        <v>18030</v>
      </c>
      <c r="AB128" s="254">
        <v>19050</v>
      </c>
      <c r="AC128" s="254">
        <v>12910</v>
      </c>
      <c r="AD128" s="3"/>
      <c r="AE128" s="224"/>
      <c r="AF128" s="224"/>
      <c r="AG128" s="224"/>
      <c r="AH128" s="3"/>
    </row>
    <row r="129" spans="12:34" ht="15" hidden="1">
      <c r="L129" s="1">
        <v>6</v>
      </c>
      <c r="N129" s="1"/>
      <c r="O129" s="1">
        <v>30</v>
      </c>
      <c r="Q129" s="1">
        <v>24</v>
      </c>
      <c r="R129" s="1">
        <v>1990</v>
      </c>
      <c r="T129" s="294">
        <v>1</v>
      </c>
      <c r="U129" s="294">
        <v>1</v>
      </c>
      <c r="V129" t="str">
        <f>VLOOKUP(V128,S126:U127,3,FALSE)</f>
        <v>PF</v>
      </c>
      <c r="X129" s="1">
        <v>7</v>
      </c>
      <c r="Y129" s="254">
        <v>12910</v>
      </c>
      <c r="Z129" s="254">
        <v>14860</v>
      </c>
      <c r="AA129" s="254">
        <v>18030</v>
      </c>
      <c r="AB129" s="254">
        <v>19050</v>
      </c>
      <c r="AC129" s="254">
        <v>13270</v>
      </c>
      <c r="AD129" s="3"/>
      <c r="AE129" s="224"/>
      <c r="AF129" s="224"/>
      <c r="AG129" s="224"/>
      <c r="AH129" s="3"/>
    </row>
    <row r="130" spans="12:34" ht="15" hidden="1">
      <c r="L130" s="1">
        <v>7</v>
      </c>
      <c r="N130" s="1"/>
      <c r="O130" s="1">
        <v>31</v>
      </c>
      <c r="Q130" s="1">
        <v>25</v>
      </c>
      <c r="R130" s="1">
        <v>1991</v>
      </c>
      <c r="T130" s="1" t="str">
        <f>VLOOKUP(T129,S126:T128,2,FALSE)</f>
        <v>Sri.</v>
      </c>
      <c r="U130" s="1" t="str">
        <f>VLOOKUP(U129,S126:T128,2,FALSE)</f>
        <v>Sri.</v>
      </c>
      <c r="X130" s="1">
        <v>8</v>
      </c>
      <c r="Y130" s="254">
        <v>13270</v>
      </c>
      <c r="Z130" s="254">
        <v>14860</v>
      </c>
      <c r="AA130" s="254">
        <v>18030</v>
      </c>
      <c r="AB130" s="254">
        <v>19050</v>
      </c>
      <c r="AC130" s="254">
        <v>13660</v>
      </c>
      <c r="AD130" s="3"/>
      <c r="AE130" s="224"/>
      <c r="AF130" s="224"/>
      <c r="AG130" s="224"/>
      <c r="AH130" s="3"/>
    </row>
    <row r="131" spans="12:139" ht="15" hidden="1">
      <c r="L131" s="1">
        <v>8</v>
      </c>
      <c r="N131" s="1"/>
      <c r="O131" s="1">
        <v>32</v>
      </c>
      <c r="Q131" s="1">
        <v>26</v>
      </c>
      <c r="R131" s="1">
        <v>1992</v>
      </c>
      <c r="T131" s="1" t="str">
        <f>IF(T129=1," He","She")</f>
        <v> He</v>
      </c>
      <c r="X131" s="1">
        <v>9</v>
      </c>
      <c r="Y131" s="254">
        <v>13660</v>
      </c>
      <c r="Z131" s="254">
        <v>14860</v>
      </c>
      <c r="AA131" s="254">
        <v>18030</v>
      </c>
      <c r="AB131" s="254">
        <v>19050</v>
      </c>
      <c r="AC131" s="254">
        <v>14050</v>
      </c>
      <c r="AD131" s="3"/>
      <c r="AE131" s="224"/>
      <c r="AF131" s="224"/>
      <c r="AG131" s="224"/>
      <c r="AH131" s="3"/>
      <c r="AO131" s="5">
        <v>1</v>
      </c>
      <c r="AP131" s="5">
        <v>2</v>
      </c>
      <c r="AQ131" s="5">
        <v>3</v>
      </c>
      <c r="AR131" s="5">
        <v>4</v>
      </c>
      <c r="AS131" s="5">
        <v>5</v>
      </c>
      <c r="AT131" s="5">
        <v>6</v>
      </c>
      <c r="AU131" s="5">
        <v>7</v>
      </c>
      <c r="AV131" s="5">
        <v>8</v>
      </c>
      <c r="AW131" s="5">
        <v>9</v>
      </c>
      <c r="AX131" s="5">
        <v>10</v>
      </c>
      <c r="AY131" s="5">
        <v>11</v>
      </c>
      <c r="AZ131" s="5">
        <v>12</v>
      </c>
      <c r="BA131" s="5">
        <v>13</v>
      </c>
      <c r="BB131" s="5">
        <v>14</v>
      </c>
      <c r="BC131" s="5">
        <v>15</v>
      </c>
      <c r="BD131" s="5">
        <v>16</v>
      </c>
      <c r="BE131" s="5">
        <v>17</v>
      </c>
      <c r="BF131" s="5">
        <v>18</v>
      </c>
      <c r="BG131" s="5">
        <v>19</v>
      </c>
      <c r="BH131" s="5">
        <v>20</v>
      </c>
      <c r="BI131" s="5">
        <v>21</v>
      </c>
      <c r="BJ131" s="5">
        <v>22</v>
      </c>
      <c r="BK131" s="5">
        <v>23</v>
      </c>
      <c r="BL131" s="5">
        <v>24</v>
      </c>
      <c r="BM131" s="5">
        <v>25</v>
      </c>
      <c r="BN131" s="5">
        <v>26</v>
      </c>
      <c r="BO131" s="5">
        <v>27</v>
      </c>
      <c r="BP131" s="5">
        <v>28</v>
      </c>
      <c r="BQ131" s="5">
        <v>29</v>
      </c>
      <c r="BR131" s="5">
        <v>30</v>
      </c>
      <c r="BS131" s="5">
        <v>31</v>
      </c>
      <c r="BT131" s="5">
        <v>32</v>
      </c>
      <c r="BU131" s="5">
        <v>33</v>
      </c>
      <c r="BV131" s="5">
        <v>34</v>
      </c>
      <c r="BW131" s="5">
        <v>35</v>
      </c>
      <c r="BX131" s="5">
        <v>36</v>
      </c>
      <c r="BY131" s="5">
        <v>37</v>
      </c>
      <c r="BZ131" s="5">
        <v>38</v>
      </c>
      <c r="CA131" s="5">
        <v>39</v>
      </c>
      <c r="CB131" s="5">
        <v>40</v>
      </c>
      <c r="CC131" s="5">
        <v>41</v>
      </c>
      <c r="CD131" s="5">
        <v>42</v>
      </c>
      <c r="CE131" s="5">
        <v>43</v>
      </c>
      <c r="CF131" s="5">
        <v>44</v>
      </c>
      <c r="CG131" s="5">
        <v>45</v>
      </c>
      <c r="CH131" s="5">
        <v>46</v>
      </c>
      <c r="CI131" s="5">
        <v>47</v>
      </c>
      <c r="CJ131" s="5">
        <v>48</v>
      </c>
      <c r="CK131" s="5">
        <v>49</v>
      </c>
      <c r="CL131" s="5">
        <v>50</v>
      </c>
      <c r="CM131" s="5">
        <v>51</v>
      </c>
      <c r="CN131" s="5">
        <v>52</v>
      </c>
      <c r="CO131" s="5">
        <v>53</v>
      </c>
      <c r="CP131" s="5">
        <v>54</v>
      </c>
      <c r="CQ131" s="5">
        <v>55</v>
      </c>
      <c r="CR131" s="5">
        <v>56</v>
      </c>
      <c r="CS131" s="5">
        <v>57</v>
      </c>
      <c r="CT131" s="5">
        <v>58</v>
      </c>
      <c r="CU131" s="5">
        <v>59</v>
      </c>
      <c r="CV131" s="5">
        <v>60</v>
      </c>
      <c r="CW131" s="5">
        <v>61</v>
      </c>
      <c r="CX131" s="5">
        <v>62</v>
      </c>
      <c r="CY131" s="5">
        <v>63</v>
      </c>
      <c r="CZ131" s="5">
        <v>64</v>
      </c>
      <c r="DA131" s="5">
        <v>65</v>
      </c>
      <c r="DB131" s="5">
        <v>66</v>
      </c>
      <c r="DC131" s="5">
        <v>67</v>
      </c>
      <c r="DD131" s="5">
        <v>68</v>
      </c>
      <c r="DE131" s="5">
        <v>69</v>
      </c>
      <c r="DF131" s="5">
        <v>70</v>
      </c>
      <c r="DG131" s="5">
        <v>71</v>
      </c>
      <c r="DH131" s="5">
        <v>72</v>
      </c>
      <c r="DI131" s="5">
        <v>73</v>
      </c>
      <c r="DJ131" s="5">
        <v>74</v>
      </c>
      <c r="DK131" s="5">
        <v>75</v>
      </c>
      <c r="DL131" s="5">
        <v>76</v>
      </c>
      <c r="DM131" s="5">
        <v>77</v>
      </c>
      <c r="DN131" s="5">
        <v>78</v>
      </c>
      <c r="DO131" s="5">
        <v>79</v>
      </c>
      <c r="DP131" s="5">
        <v>80</v>
      </c>
      <c r="DQ131" s="5">
        <v>81</v>
      </c>
      <c r="DR131" s="5">
        <v>82</v>
      </c>
      <c r="DS131" s="5">
        <v>83</v>
      </c>
      <c r="DT131" s="5">
        <v>84</v>
      </c>
      <c r="DU131" s="5">
        <v>85</v>
      </c>
      <c r="DV131" s="5">
        <v>86</v>
      </c>
      <c r="DW131" s="5">
        <v>87</v>
      </c>
      <c r="DX131" s="5">
        <v>88</v>
      </c>
      <c r="DY131" s="5">
        <v>89</v>
      </c>
      <c r="DZ131" s="5">
        <v>90</v>
      </c>
      <c r="EA131" s="5">
        <v>91</v>
      </c>
      <c r="EB131" s="5">
        <v>92</v>
      </c>
      <c r="EC131" s="5">
        <v>93</v>
      </c>
      <c r="ED131" s="5">
        <v>94</v>
      </c>
      <c r="EE131" s="5">
        <v>95</v>
      </c>
      <c r="EF131" s="5">
        <v>96</v>
      </c>
      <c r="EG131" s="5">
        <v>97</v>
      </c>
      <c r="EH131" s="5">
        <v>98</v>
      </c>
      <c r="EI131" s="5">
        <v>99</v>
      </c>
    </row>
    <row r="132" spans="12:139" ht="15" hidden="1">
      <c r="L132" s="1">
        <v>9</v>
      </c>
      <c r="N132" s="1"/>
      <c r="O132" s="1">
        <v>33</v>
      </c>
      <c r="Q132" s="1">
        <v>27</v>
      </c>
      <c r="R132" s="1">
        <v>1993</v>
      </c>
      <c r="T132" s="1" t="str">
        <f>IF(T129=1," his ","her ")</f>
        <v> his </v>
      </c>
      <c r="X132" s="1">
        <v>10</v>
      </c>
      <c r="Y132" s="254">
        <v>14050</v>
      </c>
      <c r="Z132" s="254">
        <v>14860</v>
      </c>
      <c r="AA132" s="254">
        <v>18030</v>
      </c>
      <c r="AB132" s="254">
        <v>19050</v>
      </c>
      <c r="AC132" s="254">
        <v>14440</v>
      </c>
      <c r="AD132" s="3"/>
      <c r="AE132" s="224"/>
      <c r="AF132" s="224"/>
      <c r="AG132" s="224"/>
      <c r="AH132" s="3"/>
      <c r="AO132" s="5" t="s">
        <v>281</v>
      </c>
      <c r="AP132" s="5" t="s">
        <v>282</v>
      </c>
      <c r="AQ132" s="5" t="s">
        <v>283</v>
      </c>
      <c r="AR132" s="5" t="s">
        <v>284</v>
      </c>
      <c r="AS132" s="5" t="s">
        <v>285</v>
      </c>
      <c r="AT132" s="5" t="s">
        <v>286</v>
      </c>
      <c r="AU132" s="5" t="s">
        <v>287</v>
      </c>
      <c r="AV132" s="5" t="s">
        <v>288</v>
      </c>
      <c r="AW132" s="5" t="s">
        <v>289</v>
      </c>
      <c r="AX132" s="5" t="s">
        <v>290</v>
      </c>
      <c r="AY132" s="5" t="s">
        <v>291</v>
      </c>
      <c r="AZ132" s="5" t="s">
        <v>292</v>
      </c>
      <c r="BA132" s="5" t="s">
        <v>293</v>
      </c>
      <c r="BB132" s="5" t="s">
        <v>294</v>
      </c>
      <c r="BC132" s="5" t="s">
        <v>295</v>
      </c>
      <c r="BD132" s="5" t="s">
        <v>296</v>
      </c>
      <c r="BE132" s="5" t="s">
        <v>297</v>
      </c>
      <c r="BF132" s="5" t="s">
        <v>298</v>
      </c>
      <c r="BG132" s="5" t="s">
        <v>299</v>
      </c>
      <c r="BH132" s="5" t="s">
        <v>300</v>
      </c>
      <c r="BI132" s="5" t="s">
        <v>301</v>
      </c>
      <c r="BJ132" s="5" t="s">
        <v>302</v>
      </c>
      <c r="BK132" s="5" t="s">
        <v>303</v>
      </c>
      <c r="BL132" s="5" t="s">
        <v>304</v>
      </c>
      <c r="BM132" s="5" t="s">
        <v>305</v>
      </c>
      <c r="BN132" s="5" t="s">
        <v>306</v>
      </c>
      <c r="BO132" s="5" t="s">
        <v>307</v>
      </c>
      <c r="BP132" s="5" t="s">
        <v>308</v>
      </c>
      <c r="BQ132" s="5" t="s">
        <v>309</v>
      </c>
      <c r="BR132" s="5" t="s">
        <v>310</v>
      </c>
      <c r="BS132" s="5" t="s">
        <v>311</v>
      </c>
      <c r="BT132" s="5" t="s">
        <v>312</v>
      </c>
      <c r="BU132" s="5" t="s">
        <v>313</v>
      </c>
      <c r="BV132" s="5" t="s">
        <v>314</v>
      </c>
      <c r="BW132" s="5" t="s">
        <v>315</v>
      </c>
      <c r="BX132" s="5" t="s">
        <v>316</v>
      </c>
      <c r="BY132" s="5" t="s">
        <v>317</v>
      </c>
      <c r="BZ132" s="5" t="s">
        <v>318</v>
      </c>
      <c r="CA132" s="5" t="s">
        <v>319</v>
      </c>
      <c r="CB132" s="5" t="s">
        <v>320</v>
      </c>
      <c r="CC132" s="5" t="s">
        <v>321</v>
      </c>
      <c r="CD132" s="5" t="s">
        <v>322</v>
      </c>
      <c r="CE132" s="5" t="s">
        <v>323</v>
      </c>
      <c r="CF132" s="5" t="s">
        <v>324</v>
      </c>
      <c r="CG132" s="5" t="s">
        <v>325</v>
      </c>
      <c r="CH132" s="5" t="s">
        <v>326</v>
      </c>
      <c r="CI132" s="5" t="s">
        <v>327</v>
      </c>
      <c r="CJ132" s="5" t="s">
        <v>328</v>
      </c>
      <c r="CK132" s="5" t="s">
        <v>329</v>
      </c>
      <c r="CL132" s="5" t="s">
        <v>330</v>
      </c>
      <c r="CM132" s="5" t="s">
        <v>331</v>
      </c>
      <c r="CN132" s="5" t="s">
        <v>332</v>
      </c>
      <c r="CO132" s="5" t="s">
        <v>333</v>
      </c>
      <c r="CP132" s="5" t="s">
        <v>334</v>
      </c>
      <c r="CQ132" s="5" t="s">
        <v>335</v>
      </c>
      <c r="CR132" s="5" t="s">
        <v>336</v>
      </c>
      <c r="CS132" s="5" t="s">
        <v>337</v>
      </c>
      <c r="CT132" s="5" t="s">
        <v>338</v>
      </c>
      <c r="CU132" s="5" t="s">
        <v>339</v>
      </c>
      <c r="CV132" s="5" t="s">
        <v>340</v>
      </c>
      <c r="CW132" s="5" t="s">
        <v>341</v>
      </c>
      <c r="CX132" s="5" t="s">
        <v>342</v>
      </c>
      <c r="CY132" s="5" t="s">
        <v>343</v>
      </c>
      <c r="CZ132" s="5" t="s">
        <v>344</v>
      </c>
      <c r="DA132" s="5" t="s">
        <v>345</v>
      </c>
      <c r="DB132" s="5" t="s">
        <v>346</v>
      </c>
      <c r="DC132" s="5" t="s">
        <v>347</v>
      </c>
      <c r="DD132" s="5" t="s">
        <v>348</v>
      </c>
      <c r="DE132" s="5" t="s">
        <v>349</v>
      </c>
      <c r="DF132" s="5" t="s">
        <v>350</v>
      </c>
      <c r="DG132" s="5" t="s">
        <v>351</v>
      </c>
      <c r="DH132" s="5" t="s">
        <v>352</v>
      </c>
      <c r="DI132" s="5" t="s">
        <v>353</v>
      </c>
      <c r="DJ132" s="5" t="s">
        <v>354</v>
      </c>
      <c r="DK132" s="5" t="s">
        <v>355</v>
      </c>
      <c r="DL132" s="5" t="s">
        <v>356</v>
      </c>
      <c r="DM132" s="5" t="s">
        <v>357</v>
      </c>
      <c r="DN132" s="5" t="s">
        <v>358</v>
      </c>
      <c r="DO132" s="5" t="s">
        <v>359</v>
      </c>
      <c r="DP132" s="5" t="s">
        <v>360</v>
      </c>
      <c r="DQ132" s="5" t="s">
        <v>361</v>
      </c>
      <c r="DR132" s="5" t="s">
        <v>362</v>
      </c>
      <c r="DS132" s="5" t="s">
        <v>363</v>
      </c>
      <c r="DT132" s="5" t="s">
        <v>364</v>
      </c>
      <c r="DU132" s="5" t="s">
        <v>365</v>
      </c>
      <c r="DV132" s="5" t="s">
        <v>366</v>
      </c>
      <c r="DW132" s="5" t="s">
        <v>367</v>
      </c>
      <c r="DX132" s="5" t="s">
        <v>368</v>
      </c>
      <c r="DY132" s="5" t="s">
        <v>369</v>
      </c>
      <c r="DZ132" s="5" t="s">
        <v>370</v>
      </c>
      <c r="EA132" s="5" t="s">
        <v>371</v>
      </c>
      <c r="EB132" s="5" t="s">
        <v>372</v>
      </c>
      <c r="EC132" s="5" t="s">
        <v>373</v>
      </c>
      <c r="ED132" s="5" t="s">
        <v>374</v>
      </c>
      <c r="EE132" s="5" t="s">
        <v>375</v>
      </c>
      <c r="EF132" s="5" t="s">
        <v>376</v>
      </c>
      <c r="EG132" s="5" t="s">
        <v>377</v>
      </c>
      <c r="EH132" s="5" t="s">
        <v>378</v>
      </c>
      <c r="EI132" s="5" t="s">
        <v>379</v>
      </c>
    </row>
    <row r="133" spans="12:34" ht="15" hidden="1">
      <c r="L133" s="1">
        <v>10</v>
      </c>
      <c r="M133">
        <v>1</v>
      </c>
      <c r="O133" s="1">
        <v>34</v>
      </c>
      <c r="Q133" s="1">
        <v>28</v>
      </c>
      <c r="R133" s="1">
        <v>1994</v>
      </c>
      <c r="X133" s="1">
        <v>11</v>
      </c>
      <c r="Y133" s="254">
        <v>14440</v>
      </c>
      <c r="Z133" s="254">
        <v>14860</v>
      </c>
      <c r="AA133" s="254">
        <v>18030</v>
      </c>
      <c r="AB133" s="254">
        <v>19050</v>
      </c>
      <c r="AC133" s="254">
        <v>14860</v>
      </c>
      <c r="AD133" s="3"/>
      <c r="AE133" s="224"/>
      <c r="AF133" s="224"/>
      <c r="AG133" s="224"/>
      <c r="AH133" s="3"/>
    </row>
    <row r="134" spans="12:34" ht="15" hidden="1">
      <c r="L134" s="1">
        <v>11</v>
      </c>
      <c r="M134">
        <v>2</v>
      </c>
      <c r="O134" s="1">
        <v>35</v>
      </c>
      <c r="Q134" s="1">
        <v>29</v>
      </c>
      <c r="R134" s="1">
        <v>1995</v>
      </c>
      <c r="S134" s="1">
        <v>1</v>
      </c>
      <c r="T134" s="294">
        <v>9</v>
      </c>
      <c r="U134" s="294">
        <v>4</v>
      </c>
      <c r="X134" s="1">
        <v>12</v>
      </c>
      <c r="Y134" s="254">
        <v>14860</v>
      </c>
      <c r="Z134" s="254">
        <v>15280</v>
      </c>
      <c r="AA134" s="254">
        <v>18030</v>
      </c>
      <c r="AB134" s="254">
        <v>19050</v>
      </c>
      <c r="AC134" s="254">
        <v>15280</v>
      </c>
      <c r="AD134" s="3"/>
      <c r="AE134" s="224"/>
      <c r="AF134" s="224"/>
      <c r="AG134" s="224"/>
      <c r="AH134" s="3"/>
    </row>
    <row r="135" spans="12:34" ht="15" hidden="1">
      <c r="L135" s="1">
        <v>12</v>
      </c>
      <c r="M135" s="1">
        <v>3</v>
      </c>
      <c r="O135" s="1">
        <v>36</v>
      </c>
      <c r="Q135" s="1">
        <v>30</v>
      </c>
      <c r="R135" s="1">
        <v>1996</v>
      </c>
      <c r="S135" s="317" t="s">
        <v>479</v>
      </c>
      <c r="T135" s="1" t="str">
        <f>VLOOKUP(T134,U102:X113,4,FALSE)</f>
        <v>Sep</v>
      </c>
      <c r="U135" s="1">
        <f>VLOOKUP(U134,Q151:R154,2,FALSE)</f>
        <v>2015</v>
      </c>
      <c r="X135" s="1">
        <v>13</v>
      </c>
      <c r="Y135" s="254">
        <v>15280</v>
      </c>
      <c r="Z135" s="254">
        <v>15700</v>
      </c>
      <c r="AA135" s="254">
        <v>18030</v>
      </c>
      <c r="AB135" s="254">
        <v>19050</v>
      </c>
      <c r="AC135" s="254">
        <v>15700</v>
      </c>
      <c r="AD135" s="3"/>
      <c r="AE135" s="224"/>
      <c r="AF135" s="224"/>
      <c r="AG135" s="224"/>
      <c r="AH135" s="3"/>
    </row>
    <row r="136" spans="12:34" ht="15" hidden="1">
      <c r="L136" s="1">
        <v>13</v>
      </c>
      <c r="M136" s="1">
        <v>4</v>
      </c>
      <c r="O136" s="1">
        <v>37</v>
      </c>
      <c r="Q136" s="1">
        <v>31</v>
      </c>
      <c r="R136" s="1">
        <v>1997</v>
      </c>
      <c r="T136" s="1" t="str">
        <f>CONCATENATE(S134,"/",T134,"/",U135)</f>
        <v>1/9/2015</v>
      </c>
      <c r="X136" s="1">
        <v>14</v>
      </c>
      <c r="Y136" s="254">
        <v>15700</v>
      </c>
      <c r="Z136" s="254">
        <v>16150</v>
      </c>
      <c r="AA136" s="254">
        <v>18030</v>
      </c>
      <c r="AB136" s="254">
        <v>19050</v>
      </c>
      <c r="AC136" s="254">
        <v>16150</v>
      </c>
      <c r="AD136" s="3"/>
      <c r="AE136" s="224"/>
      <c r="AF136" s="224"/>
      <c r="AG136" s="224"/>
      <c r="AH136" s="3"/>
    </row>
    <row r="137" spans="12:45" ht="15" hidden="1">
      <c r="L137" s="1">
        <v>14</v>
      </c>
      <c r="M137" s="1">
        <v>5</v>
      </c>
      <c r="O137" s="1">
        <v>38</v>
      </c>
      <c r="R137" s="1">
        <v>1998</v>
      </c>
      <c r="X137" s="1">
        <v>15</v>
      </c>
      <c r="Y137" s="254">
        <v>16150</v>
      </c>
      <c r="Z137" s="254">
        <v>16600</v>
      </c>
      <c r="AA137" s="254">
        <v>18030</v>
      </c>
      <c r="AB137" s="254">
        <v>19050</v>
      </c>
      <c r="AC137" s="254">
        <v>16600</v>
      </c>
      <c r="AD137" s="3"/>
      <c r="AE137" s="224"/>
      <c r="AF137" s="224"/>
      <c r="AG137" s="224"/>
      <c r="AH137" s="3"/>
      <c r="AK137" s="5" t="str">
        <f>IF(AK139=0," ",IF(AK139=1,"One Lakh",CONCATENATE(AK138," ",AK140)))</f>
        <v> </v>
      </c>
      <c r="AL137" s="5" t="str">
        <f>IF(AL139=0," ",IF(AL139=1,"One Thousand",CONCATENATE(AL138," ",AL140)))</f>
        <v>Three Thousands</v>
      </c>
      <c r="AM137" s="5" t="str">
        <f>IF(AM139=0," ",IF(AM139=1,"One Hundred",CONCATENATE(AM138," ",AM140)))</f>
        <v>Eight Hundred</v>
      </c>
      <c r="AN137" s="26" t="str">
        <f>IF(AN139=0," ",IF(AND(AK139=0,AL139=0,AM139=0),AN138,CONCATENATE("and"," ",AN138)))</f>
        <v>and Fifty Nine</v>
      </c>
      <c r="AO137" s="5"/>
      <c r="AP137" s="5"/>
      <c r="AQ137" s="5"/>
      <c r="AR137" s="5"/>
      <c r="AS137" s="5"/>
    </row>
    <row r="138" spans="12:45" ht="15" hidden="1">
      <c r="L138" s="1">
        <v>15</v>
      </c>
      <c r="M138" s="1">
        <v>6</v>
      </c>
      <c r="N138">
        <v>1</v>
      </c>
      <c r="O138" s="1" t="s">
        <v>515</v>
      </c>
      <c r="P138" s="5" t="s">
        <v>514</v>
      </c>
      <c r="Q138" s="5"/>
      <c r="R138" s="1">
        <v>1999</v>
      </c>
      <c r="X138" s="1">
        <v>16</v>
      </c>
      <c r="Y138" s="254">
        <v>16600</v>
      </c>
      <c r="Z138" s="254">
        <v>17050</v>
      </c>
      <c r="AA138" s="254">
        <v>18030</v>
      </c>
      <c r="AB138" s="254">
        <v>19050</v>
      </c>
      <c r="AC138" s="254">
        <v>17050</v>
      </c>
      <c r="AD138" s="3"/>
      <c r="AE138" s="224"/>
      <c r="AF138" s="224"/>
      <c r="AG138" s="224"/>
      <c r="AH138" s="3"/>
      <c r="AK138" s="5" t="e">
        <f>HLOOKUP(AK139,AO131:EI132,2,FALSE)</f>
        <v>#N/A</v>
      </c>
      <c r="AL138" s="5" t="str">
        <f>HLOOKUP(AL139,AO131:EI132,2,FALSE)</f>
        <v>Three</v>
      </c>
      <c r="AM138" s="5" t="str">
        <f>HLOOKUP(AM139,AO131:EI132,2,TRUE)</f>
        <v>Eight</v>
      </c>
      <c r="AN138" s="5" t="str">
        <f>HLOOKUP(AN139,AO131:EI132,2,TRUE)</f>
        <v>Fifty Nine</v>
      </c>
      <c r="AO138" s="5"/>
      <c r="AP138" s="5"/>
      <c r="AQ138" s="5"/>
      <c r="AR138" s="5"/>
      <c r="AS138" s="5"/>
    </row>
    <row r="139" spans="12:45" ht="15" hidden="1">
      <c r="L139" s="1">
        <v>16</v>
      </c>
      <c r="M139" s="1">
        <v>7</v>
      </c>
      <c r="N139">
        <v>2</v>
      </c>
      <c r="O139" s="342" t="s">
        <v>483</v>
      </c>
      <c r="P139" s="5" t="s">
        <v>274</v>
      </c>
      <c r="Q139" s="5"/>
      <c r="R139" s="1">
        <v>2000</v>
      </c>
      <c r="X139" s="1">
        <v>17</v>
      </c>
      <c r="Y139" s="254">
        <v>17050</v>
      </c>
      <c r="Z139" s="254">
        <v>17540</v>
      </c>
      <c r="AA139" s="254">
        <v>18030</v>
      </c>
      <c r="AB139" s="254">
        <v>19050</v>
      </c>
      <c r="AC139" s="254">
        <v>17540</v>
      </c>
      <c r="AD139" s="3"/>
      <c r="AE139" s="224"/>
      <c r="AF139" s="224"/>
      <c r="AG139" s="224"/>
      <c r="AH139" s="3"/>
      <c r="AK139" s="5">
        <f>INT(AK141/100000)</f>
        <v>0</v>
      </c>
      <c r="AL139" s="5">
        <f>INT(AK141/1000)-(AK139*100)</f>
        <v>3</v>
      </c>
      <c r="AM139" s="5">
        <f>INT(AK141/100)-(AK139*1000)-(AL139*10)</f>
        <v>8</v>
      </c>
      <c r="AN139" s="5">
        <f>AK141-(AK139*100000)-(AL139*1000)-(AM139*100)</f>
        <v>59</v>
      </c>
      <c r="AO139" s="5"/>
      <c r="AP139" s="5"/>
      <c r="AQ139" s="5"/>
      <c r="AR139" s="5"/>
      <c r="AS139" s="5"/>
    </row>
    <row r="140" spans="12:45" ht="15" hidden="1">
      <c r="L140" s="1">
        <v>17</v>
      </c>
      <c r="M140" s="1">
        <v>8</v>
      </c>
      <c r="N140">
        <v>3</v>
      </c>
      <c r="O140" s="35" t="s">
        <v>4</v>
      </c>
      <c r="P140" s="5" t="s">
        <v>489</v>
      </c>
      <c r="Q140" s="5"/>
      <c r="R140" s="1">
        <v>2001</v>
      </c>
      <c r="T140" s="1">
        <v>1</v>
      </c>
      <c r="U140" s="1" t="s">
        <v>517</v>
      </c>
      <c r="V140">
        <v>5</v>
      </c>
      <c r="X140" s="1">
        <v>18</v>
      </c>
      <c r="Y140" s="254">
        <v>17540</v>
      </c>
      <c r="Z140" s="254">
        <v>18030</v>
      </c>
      <c r="AA140" s="254">
        <v>18030</v>
      </c>
      <c r="AB140" s="254">
        <v>19050</v>
      </c>
      <c r="AC140" s="254">
        <v>18030</v>
      </c>
      <c r="AD140" s="3"/>
      <c r="AE140" s="224"/>
      <c r="AF140" s="224"/>
      <c r="AG140" s="224"/>
      <c r="AH140" s="3"/>
      <c r="AK140" s="5" t="s">
        <v>380</v>
      </c>
      <c r="AL140" s="5" t="s">
        <v>381</v>
      </c>
      <c r="AM140" s="5" t="s">
        <v>382</v>
      </c>
      <c r="AN140" s="5"/>
      <c r="AO140" s="5"/>
      <c r="AP140" s="5"/>
      <c r="AQ140" s="5"/>
      <c r="AR140" s="5"/>
      <c r="AS140" s="5"/>
    </row>
    <row r="141" spans="12:45" ht="15" hidden="1">
      <c r="L141" s="1">
        <v>18</v>
      </c>
      <c r="M141" s="1">
        <v>9</v>
      </c>
      <c r="N141">
        <v>4</v>
      </c>
      <c r="O141" s="35" t="s">
        <v>5</v>
      </c>
      <c r="P141" s="5" t="s">
        <v>524</v>
      </c>
      <c r="Q141" s="5"/>
      <c r="R141" s="1">
        <v>2002</v>
      </c>
      <c r="T141">
        <v>2</v>
      </c>
      <c r="U141" s="5" t="s">
        <v>272</v>
      </c>
      <c r="V141">
        <v>1</v>
      </c>
      <c r="X141" s="1">
        <v>19</v>
      </c>
      <c r="Y141" s="254">
        <v>18030</v>
      </c>
      <c r="Z141" s="254">
        <v>18520</v>
      </c>
      <c r="AA141" s="254">
        <v>18520</v>
      </c>
      <c r="AB141" s="254">
        <v>19050</v>
      </c>
      <c r="AC141" s="254">
        <v>18520</v>
      </c>
      <c r="AD141" s="3"/>
      <c r="AE141" s="224"/>
      <c r="AF141" s="224"/>
      <c r="AG141" s="224"/>
      <c r="AH141" s="3"/>
      <c r="AK141" s="5">
        <f>Bill!Y11</f>
        <v>3859</v>
      </c>
      <c r="AL141" s="5" t="str">
        <f>IF(AK141=0,"Zero",CONCATENATE(AK137," ",AL137," ",AM137," ",AN137," rupees only "))</f>
        <v>  Three Thousands Eight Hundred and Fifty Nine rupees only </v>
      </c>
      <c r="AM141" s="5"/>
      <c r="AN141" s="5"/>
      <c r="AO141" s="5"/>
      <c r="AP141" s="5"/>
      <c r="AQ141" s="5" t="str">
        <f>CONCATENATE(AL141,"  only")</f>
        <v>  Three Thousands Eight Hundred and Fifty Nine rupees only   only</v>
      </c>
      <c r="AR141" s="5"/>
      <c r="AS141" s="5"/>
    </row>
    <row r="142" spans="12:45" ht="15" hidden="1">
      <c r="L142" s="1">
        <v>19</v>
      </c>
      <c r="M142" s="1">
        <v>10</v>
      </c>
      <c r="N142">
        <v>5</v>
      </c>
      <c r="O142" s="35" t="s">
        <v>6</v>
      </c>
      <c r="P142" s="5" t="s">
        <v>278</v>
      </c>
      <c r="Q142" s="5"/>
      <c r="R142" s="1">
        <v>2003</v>
      </c>
      <c r="T142">
        <v>3</v>
      </c>
      <c r="U142" s="5" t="s">
        <v>273</v>
      </c>
      <c r="V142">
        <v>1</v>
      </c>
      <c r="X142" s="1">
        <v>20</v>
      </c>
      <c r="Y142" s="254">
        <v>18520</v>
      </c>
      <c r="Z142" s="254">
        <v>19050</v>
      </c>
      <c r="AA142" s="254">
        <v>19050</v>
      </c>
      <c r="AB142" s="254">
        <v>19050</v>
      </c>
      <c r="AC142" s="254">
        <v>19050</v>
      </c>
      <c r="AD142" s="3"/>
      <c r="AE142" s="224"/>
      <c r="AF142" s="224"/>
      <c r="AG142" s="224"/>
      <c r="AH142" s="3"/>
      <c r="AK142" s="5"/>
      <c r="AL142" s="5"/>
      <c r="AM142" s="5"/>
      <c r="AN142" s="5"/>
      <c r="AO142" s="5"/>
      <c r="AP142" s="5"/>
      <c r="AQ142" s="5"/>
      <c r="AR142" s="5"/>
      <c r="AS142" s="5"/>
    </row>
    <row r="143" spans="12:45" ht="15" hidden="1">
      <c r="L143" s="1">
        <v>20</v>
      </c>
      <c r="M143" s="1">
        <v>11</v>
      </c>
      <c r="O143" s="294">
        <v>2</v>
      </c>
      <c r="P143" s="294">
        <v>3</v>
      </c>
      <c r="Q143" s="294">
        <v>1</v>
      </c>
      <c r="R143" s="1">
        <v>2004</v>
      </c>
      <c r="T143">
        <v>4</v>
      </c>
      <c r="U143" s="5" t="s">
        <v>274</v>
      </c>
      <c r="V143">
        <v>2</v>
      </c>
      <c r="X143" s="1">
        <v>21</v>
      </c>
      <c r="Y143" s="254">
        <v>19050</v>
      </c>
      <c r="Z143" s="254">
        <v>19580</v>
      </c>
      <c r="AA143" s="254">
        <v>19580</v>
      </c>
      <c r="AB143" s="254">
        <v>19580</v>
      </c>
      <c r="AC143" s="254">
        <v>19580</v>
      </c>
      <c r="AD143" s="3"/>
      <c r="AE143" s="224"/>
      <c r="AF143" s="224"/>
      <c r="AG143" s="224"/>
      <c r="AH143" s="3"/>
      <c r="AK143" s="5" t="str">
        <f>IF(AK145=0," ",IF(AK145=1,"One Lakh",CONCATENATE(AK144," ",AK146)))</f>
        <v> </v>
      </c>
      <c r="AL143" s="5" t="str">
        <f>IF(AL145=0," ",IF(AL145=1,"One Thousand",CONCATENATE(AL144," ",AL146)))</f>
        <v>Three Thousands</v>
      </c>
      <c r="AM143" s="5" t="str">
        <f>IF(AM145=0," ",IF(AM145=1,"One Hundred",CONCATENATE(AM144," ",AM146)))</f>
        <v>Eight Hundred</v>
      </c>
      <c r="AN143" s="5" t="str">
        <f>IF(AN145=0," ",IF(AND(AK145=0,AL145=0,AM145=0),AN144,CONCATENATE("and"," ",AN144)))</f>
        <v>and Sixty </v>
      </c>
      <c r="AO143" s="5"/>
      <c r="AP143" s="5"/>
      <c r="AQ143" s="5"/>
      <c r="AR143" s="5"/>
      <c r="AS143" s="5"/>
    </row>
    <row r="144" spans="12:45" ht="15" hidden="1">
      <c r="L144" s="1">
        <v>21</v>
      </c>
      <c r="M144" s="1">
        <v>12</v>
      </c>
      <c r="O144" s="1" t="str">
        <f>VLOOKUP(O143,N138:O142,2,FALSE)</f>
        <v>Mandal Educational Officer</v>
      </c>
      <c r="P144" s="5" t="str">
        <f>VLOOKUP(P143,N139:P142,3,FALSE)</f>
        <v>Mandal Parishad</v>
      </c>
      <c r="Q144" s="5" t="str">
        <f>VLOOKUP(Q143,N138:P142,2,FALSE)</f>
        <v>………………</v>
      </c>
      <c r="R144" s="1">
        <v>2005</v>
      </c>
      <c r="T144">
        <v>5</v>
      </c>
      <c r="U144" s="5" t="s">
        <v>275</v>
      </c>
      <c r="V144">
        <v>2</v>
      </c>
      <c r="X144" s="1">
        <v>22</v>
      </c>
      <c r="Y144" s="254">
        <v>19580</v>
      </c>
      <c r="Z144" s="254">
        <v>20110</v>
      </c>
      <c r="AA144" s="254">
        <v>20110</v>
      </c>
      <c r="AB144" s="254">
        <v>20110</v>
      </c>
      <c r="AC144" s="254">
        <v>20110</v>
      </c>
      <c r="AD144" s="3"/>
      <c r="AE144" s="224"/>
      <c r="AF144" s="224"/>
      <c r="AG144" s="224"/>
      <c r="AH144" s="3"/>
      <c r="AK144" s="5" t="e">
        <f>HLOOKUP(AK145,AO131:EI132,2,TRUE)</f>
        <v>#N/A</v>
      </c>
      <c r="AL144" s="5" t="str">
        <f>HLOOKUP(AL145,AO131:EI132,2,TRUE)</f>
        <v>Three</v>
      </c>
      <c r="AM144" s="5" t="str">
        <f>HLOOKUP(AM145,AO131:EI132,2,TRUE)</f>
        <v>Eight</v>
      </c>
      <c r="AN144" s="5" t="str">
        <f>HLOOKUP(AN145,AO131:EI132,2,TRUE)</f>
        <v>Sixty </v>
      </c>
      <c r="AO144" s="5"/>
      <c r="AP144" s="5"/>
      <c r="AQ144" s="5"/>
      <c r="AR144" s="5"/>
      <c r="AS144" s="5"/>
    </row>
    <row r="145" spans="12:45" ht="15" hidden="1">
      <c r="L145" s="1">
        <v>22</v>
      </c>
      <c r="M145" s="1">
        <v>13</v>
      </c>
      <c r="N145">
        <v>1</v>
      </c>
      <c r="O145" s="5" t="s">
        <v>51</v>
      </c>
      <c r="R145" s="1">
        <v>2006</v>
      </c>
      <c r="T145">
        <v>6</v>
      </c>
      <c r="U145" s="5" t="s">
        <v>276</v>
      </c>
      <c r="V145">
        <v>3</v>
      </c>
      <c r="X145" s="1">
        <v>23</v>
      </c>
      <c r="Y145" s="254">
        <v>20110</v>
      </c>
      <c r="Z145" s="254">
        <v>20680</v>
      </c>
      <c r="AA145" s="254">
        <v>20680</v>
      </c>
      <c r="AB145" s="254">
        <v>20680</v>
      </c>
      <c r="AC145" s="254">
        <v>20680</v>
      </c>
      <c r="AD145" s="3"/>
      <c r="AE145" s="224"/>
      <c r="AF145" s="224"/>
      <c r="AG145" s="224"/>
      <c r="AH145" s="3"/>
      <c r="AK145" s="5">
        <f>INT(AK147/100000)</f>
        <v>0</v>
      </c>
      <c r="AL145" s="5">
        <f>INT(AK147/1000)-(AK145*100)</f>
        <v>3</v>
      </c>
      <c r="AM145" s="5">
        <f>INT(AK147/100)-(AK145*1000)-(AL145*10)</f>
        <v>8</v>
      </c>
      <c r="AN145" s="5">
        <f>AK147-(AK145*100000)-(AL145*1000)-(AM145*100)</f>
        <v>60</v>
      </c>
      <c r="AO145" s="5"/>
      <c r="AP145" s="5"/>
      <c r="AQ145" s="5"/>
      <c r="AR145" s="5"/>
      <c r="AS145" s="5"/>
    </row>
    <row r="146" spans="12:45" ht="15" hidden="1">
      <c r="L146" s="1">
        <v>23</v>
      </c>
      <c r="M146" s="1">
        <v>14</v>
      </c>
      <c r="N146">
        <v>2</v>
      </c>
      <c r="O146" s="5" t="s">
        <v>48</v>
      </c>
      <c r="R146" s="1">
        <v>2007</v>
      </c>
      <c r="T146">
        <v>7</v>
      </c>
      <c r="U146" s="5" t="s">
        <v>277</v>
      </c>
      <c r="V146">
        <v>3</v>
      </c>
      <c r="X146" s="1">
        <v>24</v>
      </c>
      <c r="Y146" s="254">
        <v>20680</v>
      </c>
      <c r="Z146" s="254">
        <v>21250</v>
      </c>
      <c r="AA146" s="254">
        <v>21250</v>
      </c>
      <c r="AB146" s="254">
        <v>21250</v>
      </c>
      <c r="AC146" s="254">
        <v>21250</v>
      </c>
      <c r="AD146" s="3"/>
      <c r="AE146" s="224"/>
      <c r="AF146" s="224"/>
      <c r="AG146" s="224"/>
      <c r="AH146" s="3"/>
      <c r="AK146" s="5" t="s">
        <v>380</v>
      </c>
      <c r="AL146" s="5" t="s">
        <v>381</v>
      </c>
      <c r="AM146" s="5" t="s">
        <v>382</v>
      </c>
      <c r="AN146" s="5"/>
      <c r="AO146" s="5"/>
      <c r="AP146" s="5"/>
      <c r="AQ146" s="5"/>
      <c r="AR146" s="5"/>
      <c r="AS146" s="5"/>
    </row>
    <row r="147" spans="12:45" ht="15" hidden="1">
      <c r="L147" s="1">
        <v>24</v>
      </c>
      <c r="M147" s="1">
        <v>15</v>
      </c>
      <c r="N147">
        <v>3</v>
      </c>
      <c r="O147" s="5" t="s">
        <v>49</v>
      </c>
      <c r="R147" s="1">
        <v>2008</v>
      </c>
      <c r="T147">
        <v>8</v>
      </c>
      <c r="U147" s="5" t="s">
        <v>278</v>
      </c>
      <c r="V147">
        <v>4</v>
      </c>
      <c r="X147" s="1">
        <v>25</v>
      </c>
      <c r="Y147" s="254">
        <v>21250</v>
      </c>
      <c r="Z147" s="254">
        <v>21820</v>
      </c>
      <c r="AA147" s="254">
        <v>21820</v>
      </c>
      <c r="AB147" s="254">
        <v>21820</v>
      </c>
      <c r="AC147" s="254">
        <v>21820</v>
      </c>
      <c r="AD147" s="3"/>
      <c r="AE147" s="224"/>
      <c r="AF147" s="224"/>
      <c r="AG147" s="224"/>
      <c r="AH147" s="3"/>
      <c r="AK147" s="5">
        <f>AK141+1</f>
        <v>3860</v>
      </c>
      <c r="AL147" s="5" t="str">
        <f>IF(AK147=0,"Zero",CONCATENATE(AK143," ",AL143," ",AM143," ",AN143," rupees only "))</f>
        <v>  Three Thousands Eight Hundred and Sixty  rupees only </v>
      </c>
      <c r="AM147" s="5"/>
      <c r="AN147" s="5"/>
      <c r="AO147" s="5"/>
      <c r="AP147" s="5"/>
      <c r="AQ147" s="5"/>
      <c r="AR147" s="5"/>
      <c r="AS147" s="5"/>
    </row>
    <row r="148" spans="12:34" ht="15.75" hidden="1" thickBot="1">
      <c r="L148" s="1">
        <v>25</v>
      </c>
      <c r="M148" s="1">
        <v>16</v>
      </c>
      <c r="O148" s="294">
        <v>2</v>
      </c>
      <c r="P148" s="1" t="str">
        <f>VLOOKUP(O148,N145:O147,2,FALSE)</f>
        <v>Yes</v>
      </c>
      <c r="R148" s="1">
        <v>2009</v>
      </c>
      <c r="T148" t="str">
        <f>VLOOKUP(T149,T140:U147,2,FALSE)</f>
        <v>ZPH School</v>
      </c>
      <c r="U148" s="5"/>
      <c r="X148" s="1">
        <v>26</v>
      </c>
      <c r="Y148" s="254">
        <v>21820</v>
      </c>
      <c r="Z148" s="254">
        <v>22430</v>
      </c>
      <c r="AA148" s="254">
        <v>22430</v>
      </c>
      <c r="AB148" s="254">
        <v>22430</v>
      </c>
      <c r="AC148" s="254">
        <v>22430</v>
      </c>
      <c r="AD148" s="3"/>
      <c r="AE148" s="224"/>
      <c r="AF148" s="224"/>
      <c r="AG148" s="224"/>
      <c r="AH148" s="3"/>
    </row>
    <row r="149" spans="12:42" ht="15" hidden="1">
      <c r="L149" s="1">
        <v>26</v>
      </c>
      <c r="M149" s="1">
        <v>17</v>
      </c>
      <c r="O149" s="296">
        <v>3</v>
      </c>
      <c r="P149" s="297">
        <v>2</v>
      </c>
      <c r="R149" s="1">
        <v>2010</v>
      </c>
      <c r="T149" s="294">
        <v>4</v>
      </c>
      <c r="U149">
        <f>VLOOKUP(T148,U140:V147,2,FALSE)</f>
        <v>2</v>
      </c>
      <c r="X149" s="1">
        <v>27</v>
      </c>
      <c r="Y149" s="254">
        <v>22430</v>
      </c>
      <c r="Z149" s="254">
        <v>23040</v>
      </c>
      <c r="AA149" s="254">
        <v>23040</v>
      </c>
      <c r="AB149" s="254">
        <v>23040</v>
      </c>
      <c r="AC149" s="254">
        <v>23040</v>
      </c>
      <c r="AD149" s="3"/>
      <c r="AE149" s="224"/>
      <c r="AF149" s="224"/>
      <c r="AG149" s="224"/>
      <c r="AH149" s="3"/>
      <c r="AK149" s="5" t="str">
        <f>IF(AK151=0," ",IF(AK151=1,"One Lakh",CONCATENATE(AK150," ",AK152)))</f>
        <v> </v>
      </c>
      <c r="AL149" s="5" t="str">
        <f>IF(AL151=0," ",IF(AL151=1,"One Thousand",CONCATENATE(AL150," ",AL152)))</f>
        <v> </v>
      </c>
      <c r="AM149" s="5" t="str">
        <f>IF(AM151=0," ",IF(AM151=1,"One Hundred",CONCATENATE(AM150," ",AM152)))</f>
        <v> </v>
      </c>
      <c r="AN149" s="26" t="str">
        <f>IF(AN151=0," ",IF(AND(AK151=0,AL151=0,AM151=0),AN150,CONCATENATE("and"," ",AN150)))</f>
        <v> </v>
      </c>
      <c r="AO149" s="5"/>
      <c r="AP149" s="5"/>
    </row>
    <row r="150" spans="12:42" ht="15.75" hidden="1" thickBot="1">
      <c r="L150" s="1">
        <v>27</v>
      </c>
      <c r="M150" s="1">
        <v>18</v>
      </c>
      <c r="N150" s="1" t="s">
        <v>472</v>
      </c>
      <c r="O150" s="298" t="str">
        <f>VLOOKUP(O149,N153:O161,2,FALSE)</f>
        <v>B.Sc</v>
      </c>
      <c r="P150" s="299" t="str">
        <f>VLOOKUP(P149,N153:P160,3,FALSE)</f>
        <v>B.Ed</v>
      </c>
      <c r="R150" s="1">
        <v>2011</v>
      </c>
      <c r="X150" s="1">
        <v>28</v>
      </c>
      <c r="Y150" s="254">
        <v>23040</v>
      </c>
      <c r="Z150" s="254">
        <v>23650</v>
      </c>
      <c r="AA150" s="254">
        <v>23650</v>
      </c>
      <c r="AB150" s="254">
        <v>23650</v>
      </c>
      <c r="AC150" s="254">
        <v>23650</v>
      </c>
      <c r="AD150" s="3"/>
      <c r="AE150" s="224"/>
      <c r="AF150" s="224"/>
      <c r="AG150" s="224"/>
      <c r="AH150" s="3"/>
      <c r="AK150" s="5" t="e">
        <f>HLOOKUP(AK151,AO131:EI132,2,FALSE)</f>
        <v>#N/A</v>
      </c>
      <c r="AL150" s="5" t="e">
        <f>HLOOKUP(AL151,AO131:EI132,2,FALSE)</f>
        <v>#N/A</v>
      </c>
      <c r="AM150" s="5" t="e">
        <f>HLOOKUP(AM151,AO131:EI132,2,TRUE)</f>
        <v>#N/A</v>
      </c>
      <c r="AN150" s="5" t="e">
        <f>HLOOKUP(AN151,AO131:EI132,2,TRUE)</f>
        <v>#N/A</v>
      </c>
      <c r="AO150" s="5"/>
      <c r="AP150" s="5"/>
    </row>
    <row r="151" spans="12:42" ht="15" hidden="1">
      <c r="L151" s="1">
        <v>28</v>
      </c>
      <c r="M151" s="1">
        <v>19</v>
      </c>
      <c r="N151" s="1" t="s">
        <v>471</v>
      </c>
      <c r="O151" s="300" t="str">
        <f>VLOOKUP(O152,N153:O161,2,FALSE)</f>
        <v>M.Sc</v>
      </c>
      <c r="P151" s="301" t="str">
        <f>VLOOKUP(P152,N153:P160,3,FALSE)</f>
        <v>B.Ed</v>
      </c>
      <c r="Q151" s="1">
        <v>1</v>
      </c>
      <c r="R151" s="1">
        <v>2012</v>
      </c>
      <c r="X151" s="1">
        <v>29</v>
      </c>
      <c r="Y151" s="254">
        <v>23650</v>
      </c>
      <c r="Z151" s="254">
        <v>24300</v>
      </c>
      <c r="AA151" s="254">
        <v>24300</v>
      </c>
      <c r="AB151" s="254">
        <v>24300</v>
      </c>
      <c r="AC151" s="254">
        <v>24300</v>
      </c>
      <c r="AD151" s="3"/>
      <c r="AE151" s="224"/>
      <c r="AF151" s="224"/>
      <c r="AG151" s="224"/>
      <c r="AH151" s="3"/>
      <c r="AK151" s="5">
        <f>INT(AK153/100000)</f>
        <v>0</v>
      </c>
      <c r="AL151" s="5">
        <f>INT(AK153/1000)-(AK151*100)</f>
        <v>0</v>
      </c>
      <c r="AM151" s="5">
        <f>INT(AK153/100)-(AK151*1000)-(AL151*10)</f>
        <v>0</v>
      </c>
      <c r="AN151" s="5">
        <f>AK153-(AK151*100000)-(AL151*1000)-(AM151*100)</f>
        <v>0</v>
      </c>
      <c r="AO151" s="5"/>
      <c r="AP151" s="5"/>
    </row>
    <row r="152" spans="13:42" ht="15.75" hidden="1" thickBot="1">
      <c r="M152" s="1">
        <v>20</v>
      </c>
      <c r="O152" s="302">
        <v>6</v>
      </c>
      <c r="P152" s="303">
        <v>2</v>
      </c>
      <c r="Q152" s="1">
        <v>2</v>
      </c>
      <c r="R152" s="1">
        <v>2013</v>
      </c>
      <c r="X152" s="1">
        <v>30</v>
      </c>
      <c r="Y152" s="254">
        <v>24300</v>
      </c>
      <c r="Z152" s="254">
        <v>24950</v>
      </c>
      <c r="AA152" s="254">
        <v>24950</v>
      </c>
      <c r="AB152" s="254">
        <v>24950</v>
      </c>
      <c r="AC152" s="254">
        <v>24950</v>
      </c>
      <c r="AD152" s="3"/>
      <c r="AE152" s="224"/>
      <c r="AF152" s="224"/>
      <c r="AG152" s="224"/>
      <c r="AH152" s="3"/>
      <c r="AK152" s="5" t="s">
        <v>380</v>
      </c>
      <c r="AL152" s="5" t="s">
        <v>381</v>
      </c>
      <c r="AM152" s="5" t="s">
        <v>382</v>
      </c>
      <c r="AN152" s="5"/>
      <c r="AO152" s="5"/>
      <c r="AP152" s="5"/>
    </row>
    <row r="153" spans="13:42" ht="15" hidden="1">
      <c r="M153" s="1">
        <v>21</v>
      </c>
      <c r="N153">
        <v>1</v>
      </c>
      <c r="O153" s="5" t="s">
        <v>54</v>
      </c>
      <c r="P153" s="5" t="s">
        <v>62</v>
      </c>
      <c r="Q153" s="1">
        <v>3</v>
      </c>
      <c r="R153" s="1">
        <v>2014</v>
      </c>
      <c r="X153" s="1">
        <v>31</v>
      </c>
      <c r="Y153" s="254">
        <v>24950</v>
      </c>
      <c r="Z153" s="254">
        <v>25600</v>
      </c>
      <c r="AA153" s="254">
        <v>25600</v>
      </c>
      <c r="AB153" s="254">
        <v>25600</v>
      </c>
      <c r="AC153" s="254">
        <v>25600</v>
      </c>
      <c r="AD153" s="3"/>
      <c r="AE153" s="224"/>
      <c r="AF153" s="224"/>
      <c r="AG153" s="224"/>
      <c r="AH153" s="3"/>
      <c r="AK153" s="5">
        <f>Bill!V11</f>
        <v>0</v>
      </c>
      <c r="AL153" s="5" t="str">
        <f>IF(AK153=0,"Zero",CONCATENATE(AK149," ",AL149," ",AM149," ",AN149,"rupees  only"))</f>
        <v>Zero</v>
      </c>
      <c r="AM153" s="5"/>
      <c r="AN153" s="5"/>
      <c r="AO153" s="5"/>
      <c r="AP153" s="5"/>
    </row>
    <row r="154" spans="13:34" ht="15" hidden="1">
      <c r="M154" s="1">
        <v>22</v>
      </c>
      <c r="N154">
        <v>2</v>
      </c>
      <c r="O154" s="5" t="s">
        <v>53</v>
      </c>
      <c r="P154" s="5" t="s">
        <v>63</v>
      </c>
      <c r="Q154" s="318">
        <v>4</v>
      </c>
      <c r="R154" s="1">
        <v>2015</v>
      </c>
      <c r="X154" s="1">
        <v>32</v>
      </c>
      <c r="Y154" s="254">
        <v>25600</v>
      </c>
      <c r="Z154" s="254">
        <v>26300</v>
      </c>
      <c r="AA154" s="254">
        <v>26300</v>
      </c>
      <c r="AB154" s="254">
        <v>26300</v>
      </c>
      <c r="AC154" s="254">
        <v>26300</v>
      </c>
      <c r="AD154" s="3"/>
      <c r="AE154" s="224"/>
      <c r="AF154" s="224"/>
      <c r="AG154" s="224"/>
      <c r="AH154" s="3"/>
    </row>
    <row r="155" spans="13:34" ht="15" hidden="1">
      <c r="M155" s="1"/>
      <c r="N155" s="1">
        <v>3</v>
      </c>
      <c r="O155" s="5" t="s">
        <v>55</v>
      </c>
      <c r="P155" s="5" t="s">
        <v>64</v>
      </c>
      <c r="X155" s="1">
        <v>33</v>
      </c>
      <c r="Y155" s="254">
        <v>26300</v>
      </c>
      <c r="Z155" s="254">
        <v>27000</v>
      </c>
      <c r="AA155" s="254">
        <v>27000</v>
      </c>
      <c r="AB155" s="254">
        <v>27000</v>
      </c>
      <c r="AC155" s="254">
        <v>27000</v>
      </c>
      <c r="AD155" s="3"/>
      <c r="AE155" s="224"/>
      <c r="AF155" s="224"/>
      <c r="AG155" s="224"/>
      <c r="AH155" s="3"/>
    </row>
    <row r="156" spans="13:34" ht="15" hidden="1">
      <c r="M156" s="1"/>
      <c r="N156" s="1">
        <v>4</v>
      </c>
      <c r="O156" s="5" t="s">
        <v>56</v>
      </c>
      <c r="P156" s="5" t="s">
        <v>65</v>
      </c>
      <c r="X156" s="1">
        <v>34</v>
      </c>
      <c r="Y156" s="254">
        <v>27000</v>
      </c>
      <c r="Z156" s="254">
        <v>27700</v>
      </c>
      <c r="AA156" s="254">
        <v>27700</v>
      </c>
      <c r="AB156" s="254">
        <v>27700</v>
      </c>
      <c r="AC156" s="254">
        <v>27700</v>
      </c>
      <c r="AD156" s="3"/>
      <c r="AE156" s="224"/>
      <c r="AF156" s="224"/>
      <c r="AG156" s="224"/>
      <c r="AH156" s="3"/>
    </row>
    <row r="157" spans="13:34" ht="15" hidden="1">
      <c r="M157" s="1"/>
      <c r="N157" s="1">
        <v>5</v>
      </c>
      <c r="O157" s="5" t="s">
        <v>57</v>
      </c>
      <c r="P157" s="5" t="s">
        <v>66</v>
      </c>
      <c r="X157" s="1">
        <v>35</v>
      </c>
      <c r="Y157" s="254">
        <v>27700</v>
      </c>
      <c r="Z157" s="254">
        <v>28450</v>
      </c>
      <c r="AA157" s="254">
        <v>28450</v>
      </c>
      <c r="AB157" s="254">
        <v>28450</v>
      </c>
      <c r="AC157" s="254">
        <v>28450</v>
      </c>
      <c r="AD157" s="3"/>
      <c r="AE157" s="224"/>
      <c r="AF157" s="224"/>
      <c r="AG157" s="224"/>
      <c r="AH157" s="3"/>
    </row>
    <row r="158" spans="13:34" ht="15" hidden="1">
      <c r="M158" s="1"/>
      <c r="N158" s="1">
        <v>6</v>
      </c>
      <c r="O158" s="5" t="s">
        <v>58</v>
      </c>
      <c r="P158" s="5" t="s">
        <v>67</v>
      </c>
      <c r="X158" s="1">
        <v>36</v>
      </c>
      <c r="Y158" s="254">
        <v>28450</v>
      </c>
      <c r="Z158" s="254">
        <v>29200</v>
      </c>
      <c r="AA158" s="254">
        <v>29200</v>
      </c>
      <c r="AB158" s="254">
        <v>29200</v>
      </c>
      <c r="AC158" s="254">
        <v>29200</v>
      </c>
      <c r="AD158" s="3"/>
      <c r="AE158" s="224"/>
      <c r="AF158" s="224"/>
      <c r="AG158" s="224"/>
      <c r="AH158" s="3"/>
    </row>
    <row r="159" spans="14:34" ht="15" hidden="1">
      <c r="N159" s="1">
        <v>7</v>
      </c>
      <c r="O159" s="5" t="s">
        <v>59</v>
      </c>
      <c r="P159" s="5" t="s">
        <v>68</v>
      </c>
      <c r="X159" s="1">
        <v>37</v>
      </c>
      <c r="Y159" s="254">
        <v>29200</v>
      </c>
      <c r="Z159" s="254">
        <v>29950</v>
      </c>
      <c r="AA159" s="254">
        <v>29950</v>
      </c>
      <c r="AB159" s="254">
        <v>29950</v>
      </c>
      <c r="AC159" s="254">
        <v>29950</v>
      </c>
      <c r="AD159" s="3"/>
      <c r="AE159" s="224"/>
      <c r="AF159" s="224"/>
      <c r="AG159" s="224"/>
      <c r="AH159" s="3"/>
    </row>
    <row r="160" spans="14:34" ht="15" hidden="1">
      <c r="N160" s="1">
        <v>8</v>
      </c>
      <c r="O160" s="5" t="s">
        <v>60</v>
      </c>
      <c r="P160" s="5" t="s">
        <v>69</v>
      </c>
      <c r="X160" s="1">
        <v>38</v>
      </c>
      <c r="Y160" s="254">
        <v>29950</v>
      </c>
      <c r="Z160" s="254">
        <v>30750</v>
      </c>
      <c r="AA160" s="254">
        <v>30750</v>
      </c>
      <c r="AB160" s="254">
        <v>30750</v>
      </c>
      <c r="AC160" s="254">
        <v>30750</v>
      </c>
      <c r="AD160" s="3"/>
      <c r="AE160" s="224"/>
      <c r="AF160" s="224"/>
      <c r="AG160" s="224"/>
      <c r="AH160" s="3"/>
    </row>
    <row r="161" spans="14:34" ht="15" hidden="1">
      <c r="N161" s="1">
        <v>9</v>
      </c>
      <c r="O161" s="5" t="s">
        <v>61</v>
      </c>
      <c r="P161" s="5"/>
      <c r="R161" s="1">
        <f>U149</f>
        <v>2</v>
      </c>
      <c r="X161" s="1">
        <v>39</v>
      </c>
      <c r="Y161" s="254">
        <v>30750</v>
      </c>
      <c r="Z161" s="254">
        <v>31550</v>
      </c>
      <c r="AA161" s="254">
        <v>31550</v>
      </c>
      <c r="AB161" s="254">
        <v>31550</v>
      </c>
      <c r="AC161" s="254">
        <v>31550</v>
      </c>
      <c r="AD161" s="3"/>
      <c r="AE161" s="224"/>
      <c r="AF161" s="224"/>
      <c r="AG161" s="224"/>
      <c r="AH161" s="3"/>
    </row>
    <row r="162" spans="15:34" ht="15" hidden="1">
      <c r="O162" s="197">
        <v>1</v>
      </c>
      <c r="P162" s="197" t="s">
        <v>388</v>
      </c>
      <c r="Q162" s="197">
        <v>0</v>
      </c>
      <c r="R162" s="197">
        <v>3</v>
      </c>
      <c r="S162" s="197" t="s">
        <v>209</v>
      </c>
      <c r="T162" s="197">
        <v>5</v>
      </c>
      <c r="U162" s="197">
        <v>1</v>
      </c>
      <c r="V162" s="197" t="s">
        <v>389</v>
      </c>
      <c r="W162" s="5"/>
      <c r="X162" s="1">
        <v>40</v>
      </c>
      <c r="Y162" s="254">
        <v>31550</v>
      </c>
      <c r="Z162" s="254">
        <v>32350</v>
      </c>
      <c r="AA162" s="254">
        <v>32350</v>
      </c>
      <c r="AB162" s="254">
        <v>32350</v>
      </c>
      <c r="AC162" s="254">
        <v>32350</v>
      </c>
      <c r="AD162" s="3"/>
      <c r="AE162" s="224"/>
      <c r="AF162" s="224"/>
      <c r="AG162" s="224"/>
      <c r="AH162" s="3"/>
    </row>
    <row r="163" spans="15:34" ht="15" hidden="1">
      <c r="O163" s="197">
        <v>2</v>
      </c>
      <c r="P163" s="197" t="s">
        <v>390</v>
      </c>
      <c r="Q163" s="197">
        <v>9</v>
      </c>
      <c r="R163" s="197">
        <v>1</v>
      </c>
      <c r="S163" s="197" t="s">
        <v>391</v>
      </c>
      <c r="T163" s="197">
        <v>5</v>
      </c>
      <c r="U163" s="197">
        <v>2</v>
      </c>
      <c r="V163" s="197" t="s">
        <v>384</v>
      </c>
      <c r="W163" s="5"/>
      <c r="X163" s="1">
        <v>41</v>
      </c>
      <c r="Y163" s="254">
        <v>32350</v>
      </c>
      <c r="Z163" s="254">
        <v>33200</v>
      </c>
      <c r="AA163" s="254">
        <v>33200</v>
      </c>
      <c r="AB163" s="254">
        <v>33200</v>
      </c>
      <c r="AC163" s="254">
        <v>33200</v>
      </c>
      <c r="AD163" s="3"/>
      <c r="AE163" s="224"/>
      <c r="AF163" s="224"/>
      <c r="AG163" s="224"/>
      <c r="AH163" s="3"/>
    </row>
    <row r="164" spans="15:34" ht="15" hidden="1">
      <c r="O164" s="197">
        <v>3</v>
      </c>
      <c r="P164" s="197" t="s">
        <v>392</v>
      </c>
      <c r="Q164" s="197">
        <v>0</v>
      </c>
      <c r="R164" s="197">
        <v>1</v>
      </c>
      <c r="S164" s="197" t="s">
        <v>398</v>
      </c>
      <c r="T164" s="197">
        <v>4</v>
      </c>
      <c r="U164" s="197">
        <v>1</v>
      </c>
      <c r="V164" s="197" t="s">
        <v>389</v>
      </c>
      <c r="W164" s="5"/>
      <c r="X164" s="1">
        <v>42</v>
      </c>
      <c r="Y164" s="254">
        <v>33200</v>
      </c>
      <c r="Z164" s="254">
        <v>34050</v>
      </c>
      <c r="AA164" s="254">
        <v>34050</v>
      </c>
      <c r="AB164" s="254">
        <v>34050</v>
      </c>
      <c r="AC164" s="254">
        <v>34050</v>
      </c>
      <c r="AD164" s="3"/>
      <c r="AE164" s="224"/>
      <c r="AF164" s="224"/>
      <c r="AG164" s="224"/>
      <c r="AH164" s="3"/>
    </row>
    <row r="165" spans="15:34" ht="15" hidden="1">
      <c r="O165" s="197">
        <v>4</v>
      </c>
      <c r="P165" s="197" t="s">
        <v>393</v>
      </c>
      <c r="Q165" s="197">
        <v>0</v>
      </c>
      <c r="R165" s="197">
        <v>9</v>
      </c>
      <c r="S165" s="197" t="s">
        <v>399</v>
      </c>
      <c r="T165" s="197">
        <v>4</v>
      </c>
      <c r="U165" s="197">
        <v>2</v>
      </c>
      <c r="V165" s="197" t="s">
        <v>384</v>
      </c>
      <c r="W165" s="5"/>
      <c r="X165" s="1">
        <v>43</v>
      </c>
      <c r="Y165" s="254">
        <v>34050</v>
      </c>
      <c r="Z165" s="254">
        <v>34900</v>
      </c>
      <c r="AA165" s="254">
        <v>34900</v>
      </c>
      <c r="AB165" s="254">
        <v>34900</v>
      </c>
      <c r="AC165" s="254">
        <v>34900</v>
      </c>
      <c r="AD165" s="3"/>
      <c r="AE165" s="224"/>
      <c r="AF165" s="224"/>
      <c r="AG165" s="224"/>
      <c r="AH165" s="3"/>
    </row>
    <row r="166" spans="15:34" ht="15" hidden="1">
      <c r="O166" s="372">
        <v>5</v>
      </c>
      <c r="P166" s="372" t="s">
        <v>512</v>
      </c>
      <c r="Q166" s="372" t="s">
        <v>518</v>
      </c>
      <c r="R166" s="372" t="s">
        <v>518</v>
      </c>
      <c r="S166" s="372" t="s">
        <v>510</v>
      </c>
      <c r="T166" s="372" t="s">
        <v>518</v>
      </c>
      <c r="U166" s="372" t="s">
        <v>518</v>
      </c>
      <c r="V166" s="372" t="s">
        <v>511</v>
      </c>
      <c r="X166" s="1">
        <v>44</v>
      </c>
      <c r="Y166" s="254">
        <v>34900</v>
      </c>
      <c r="Z166" s="254">
        <v>35800</v>
      </c>
      <c r="AA166" s="254">
        <v>35800</v>
      </c>
      <c r="AB166" s="254">
        <v>35800</v>
      </c>
      <c r="AC166" s="254">
        <v>35800</v>
      </c>
      <c r="AD166" s="3"/>
      <c r="AE166" s="224"/>
      <c r="AF166" s="224"/>
      <c r="AG166" s="224"/>
      <c r="AH166" s="3"/>
    </row>
    <row r="167" spans="15:34" ht="15" hidden="1">
      <c r="O167" s="5" t="s">
        <v>394</v>
      </c>
      <c r="P167" s="1">
        <f>VLOOKUP(R161,O162:W166,7,TRUE)</f>
        <v>2</v>
      </c>
      <c r="X167" s="1">
        <v>45</v>
      </c>
      <c r="Y167" s="254">
        <v>35800</v>
      </c>
      <c r="Z167" s="254">
        <v>36700</v>
      </c>
      <c r="AA167" s="254">
        <v>36700</v>
      </c>
      <c r="AB167" s="254">
        <v>36700</v>
      </c>
      <c r="AC167" s="254">
        <v>36700</v>
      </c>
      <c r="AD167" s="3"/>
      <c r="AE167" s="224"/>
      <c r="AF167" s="224"/>
      <c r="AG167" s="224"/>
      <c r="AH167" s="3"/>
    </row>
    <row r="168" spans="15:34" ht="15" hidden="1">
      <c r="O168" s="5" t="s">
        <v>395</v>
      </c>
      <c r="P168" s="1" t="str">
        <f>VLOOKUP(R161,O162:V166,8,TRUE)</f>
        <v>Secondary Education</v>
      </c>
      <c r="R168" s="1">
        <f>VLOOKUP(R161,O162:V166,3,TRUE)</f>
        <v>9</v>
      </c>
      <c r="S168" s="1">
        <f>VLOOKUP(R161,O162:V166,4,TRUE)</f>
        <v>1</v>
      </c>
      <c r="X168" s="1">
        <v>46</v>
      </c>
      <c r="Y168" s="254">
        <v>36700</v>
      </c>
      <c r="Z168" s="254">
        <v>37600</v>
      </c>
      <c r="AA168" s="254">
        <v>37600</v>
      </c>
      <c r="AB168" s="254">
        <v>37600</v>
      </c>
      <c r="AC168" s="254">
        <v>37600</v>
      </c>
      <c r="AD168" s="3"/>
      <c r="AE168" s="224"/>
      <c r="AF168" s="224"/>
      <c r="AG168" s="224"/>
      <c r="AH168" s="3"/>
    </row>
    <row r="169" spans="15:34" ht="15" hidden="1">
      <c r="O169" s="5" t="s">
        <v>396</v>
      </c>
      <c r="P169" s="1" t="str">
        <f>VLOOKUP(R161,O162:V166,2,TRUE)</f>
        <v>Assistance to Local Bodies for Secondary Education</v>
      </c>
      <c r="X169" s="1">
        <v>47</v>
      </c>
      <c r="Y169" s="254">
        <v>37600</v>
      </c>
      <c r="Z169" s="254">
        <v>38570</v>
      </c>
      <c r="AA169" s="254">
        <v>38570</v>
      </c>
      <c r="AB169" s="254">
        <v>38570</v>
      </c>
      <c r="AC169" s="254">
        <v>38570</v>
      </c>
      <c r="AD169" s="3"/>
      <c r="AE169" s="224"/>
      <c r="AF169" s="224"/>
      <c r="AG169" s="224"/>
      <c r="AH169" s="3"/>
    </row>
    <row r="170" spans="15:34" ht="15" hidden="1">
      <c r="O170" s="5" t="s">
        <v>397</v>
      </c>
      <c r="P170" s="1" t="str">
        <f>VLOOKUP(R161,O162:V166,5,TRUE)</f>
        <v>Teaching Grant to Zilla Praja Parishads</v>
      </c>
      <c r="S170" s="1">
        <f>VLOOKUP(R161,O162:V166,3,TRUE)</f>
        <v>9</v>
      </c>
      <c r="T170" s="1">
        <f>VLOOKUP(R161,O162:V166,6,TRUE)</f>
        <v>5</v>
      </c>
      <c r="X170" s="1">
        <v>48</v>
      </c>
      <c r="Y170" s="254">
        <v>38570</v>
      </c>
      <c r="Z170" s="254">
        <v>39540</v>
      </c>
      <c r="AA170" s="254">
        <v>39540</v>
      </c>
      <c r="AB170" s="254">
        <v>39540</v>
      </c>
      <c r="AC170" s="254">
        <v>39540</v>
      </c>
      <c r="AD170" s="3"/>
      <c r="AE170" s="224"/>
      <c r="AF170" s="224"/>
      <c r="AG170" s="224"/>
      <c r="AH170" s="3"/>
    </row>
    <row r="171" spans="24:34" ht="15" hidden="1">
      <c r="X171" s="1">
        <v>49</v>
      </c>
      <c r="Y171" s="254">
        <v>39540</v>
      </c>
      <c r="Z171" s="254">
        <v>40510</v>
      </c>
      <c r="AA171" s="254">
        <v>40510</v>
      </c>
      <c r="AB171" s="254">
        <v>40510</v>
      </c>
      <c r="AC171" s="254">
        <v>40510</v>
      </c>
      <c r="AD171" s="3"/>
      <c r="AE171" s="224"/>
      <c r="AF171" s="224"/>
      <c r="AG171" s="224"/>
      <c r="AH171" s="3"/>
    </row>
    <row r="172" spans="24:34" ht="15.75" hidden="1" thickBot="1">
      <c r="X172" s="1">
        <v>50</v>
      </c>
      <c r="Y172" s="254">
        <v>40510</v>
      </c>
      <c r="Z172" s="254">
        <v>41550</v>
      </c>
      <c r="AA172" s="254">
        <v>41550</v>
      </c>
      <c r="AB172" s="254">
        <v>41550</v>
      </c>
      <c r="AC172" s="254">
        <v>41550</v>
      </c>
      <c r="AD172" s="3"/>
      <c r="AE172" s="224"/>
      <c r="AF172" s="224"/>
      <c r="AG172" s="224"/>
      <c r="AH172" s="3"/>
    </row>
    <row r="173" spans="15:34" ht="15.75" hidden="1" thickTop="1">
      <c r="O173" s="197" t="s">
        <v>403</v>
      </c>
      <c r="P173" s="197" t="s">
        <v>47</v>
      </c>
      <c r="Q173" s="195"/>
      <c r="R173" s="195"/>
      <c r="S173" s="195"/>
      <c r="T173" s="196"/>
      <c r="X173" s="1">
        <v>51</v>
      </c>
      <c r="Y173" s="254">
        <v>41550</v>
      </c>
      <c r="Z173" s="254">
        <v>42590</v>
      </c>
      <c r="AA173" s="254">
        <v>42590</v>
      </c>
      <c r="AB173" s="254">
        <v>42590</v>
      </c>
      <c r="AC173" s="254">
        <v>42590</v>
      </c>
      <c r="AD173" s="3"/>
      <c r="AE173" s="224"/>
      <c r="AF173" s="224"/>
      <c r="AG173" s="224"/>
      <c r="AH173" s="3"/>
    </row>
    <row r="174" spans="15:34" ht="15" hidden="1">
      <c r="O174" s="197">
        <f>AN106</f>
        <v>12</v>
      </c>
      <c r="P174" s="197">
        <f>W121</f>
        <v>3</v>
      </c>
      <c r="Q174" s="35"/>
      <c r="R174" s="35"/>
      <c r="S174" s="35"/>
      <c r="T174" s="37"/>
      <c r="X174" s="1">
        <v>52</v>
      </c>
      <c r="Y174" s="254">
        <v>42590</v>
      </c>
      <c r="Z174" s="254">
        <v>43630</v>
      </c>
      <c r="AA174" s="254">
        <v>43630</v>
      </c>
      <c r="AB174" s="254">
        <v>43630</v>
      </c>
      <c r="AC174" s="254">
        <v>43630</v>
      </c>
      <c r="AD174" s="3"/>
      <c r="AE174" s="224"/>
      <c r="AF174" s="224"/>
      <c r="AG174" s="224"/>
      <c r="AH174" s="3"/>
    </row>
    <row r="175" spans="15:34" ht="15" hidden="1">
      <c r="O175" s="34"/>
      <c r="P175" s="35">
        <v>6</v>
      </c>
      <c r="Q175" s="35" t="s">
        <v>30</v>
      </c>
      <c r="R175" s="35"/>
      <c r="S175" s="35"/>
      <c r="T175" s="37"/>
      <c r="X175" s="1">
        <v>53</v>
      </c>
      <c r="Y175" s="254">
        <v>43630</v>
      </c>
      <c r="Z175" s="254">
        <v>44740</v>
      </c>
      <c r="AA175" s="254">
        <v>44740</v>
      </c>
      <c r="AB175" s="254">
        <v>44740</v>
      </c>
      <c r="AC175" s="254">
        <v>44740</v>
      </c>
      <c r="AD175" s="3"/>
      <c r="AE175" s="224"/>
      <c r="AF175" s="224"/>
      <c r="AG175" s="224"/>
      <c r="AH175" s="3"/>
    </row>
    <row r="176" spans="15:34" ht="15" hidden="1">
      <c r="O176" s="34"/>
      <c r="P176" s="35">
        <v>12</v>
      </c>
      <c r="Q176" s="35" t="s">
        <v>31</v>
      </c>
      <c r="R176" s="35"/>
      <c r="S176" s="35"/>
      <c r="T176" s="37"/>
      <c r="X176" s="1">
        <v>54</v>
      </c>
      <c r="Y176" s="254">
        <v>44740</v>
      </c>
      <c r="Z176" s="254">
        <v>45850</v>
      </c>
      <c r="AA176" s="254">
        <v>45850</v>
      </c>
      <c r="AB176" s="254">
        <v>45850</v>
      </c>
      <c r="AC176" s="254">
        <v>45850</v>
      </c>
      <c r="AD176" s="3"/>
      <c r="AE176" s="224"/>
      <c r="AF176" s="224"/>
      <c r="AG176" s="224"/>
      <c r="AH176" s="3"/>
    </row>
    <row r="177" spans="15:34" ht="15" hidden="1">
      <c r="O177" s="34"/>
      <c r="P177" s="35">
        <v>18</v>
      </c>
      <c r="Q177" s="35" t="s">
        <v>45</v>
      </c>
      <c r="R177" s="35"/>
      <c r="S177" s="35"/>
      <c r="T177" s="37"/>
      <c r="X177" s="1">
        <v>55</v>
      </c>
      <c r="Y177" s="254">
        <v>45850</v>
      </c>
      <c r="Z177" s="254">
        <v>46960</v>
      </c>
      <c r="AA177" s="254">
        <v>46960</v>
      </c>
      <c r="AB177" s="254">
        <v>46960</v>
      </c>
      <c r="AC177" s="254">
        <v>46960</v>
      </c>
      <c r="AD177" s="3"/>
      <c r="AE177" s="224"/>
      <c r="AF177" s="224"/>
      <c r="AG177" s="224"/>
      <c r="AH177" s="3"/>
    </row>
    <row r="178" spans="15:34" ht="15" hidden="1">
      <c r="O178" s="34"/>
      <c r="P178" s="35">
        <v>24</v>
      </c>
      <c r="Q178" s="35" t="s">
        <v>32</v>
      </c>
      <c r="R178" s="35"/>
      <c r="S178" s="35"/>
      <c r="T178" s="37"/>
      <c r="X178" s="1">
        <v>56</v>
      </c>
      <c r="Y178" s="254">
        <v>46960</v>
      </c>
      <c r="Z178" s="254">
        <v>48160</v>
      </c>
      <c r="AA178" s="254">
        <v>48160</v>
      </c>
      <c r="AB178" s="254">
        <v>48160</v>
      </c>
      <c r="AC178" s="254">
        <v>48160</v>
      </c>
      <c r="AD178" s="3"/>
      <c r="AE178" s="224"/>
      <c r="AF178" s="224"/>
      <c r="AG178" s="224"/>
      <c r="AH178" s="3"/>
    </row>
    <row r="179" spans="15:34" ht="15" hidden="1">
      <c r="O179" s="34"/>
      <c r="P179" s="35"/>
      <c r="Q179" s="35"/>
      <c r="R179" s="35"/>
      <c r="S179" s="35"/>
      <c r="T179" s="37"/>
      <c r="X179" s="1">
        <v>57</v>
      </c>
      <c r="Y179" s="254">
        <v>48160</v>
      </c>
      <c r="Z179" s="254">
        <v>49360</v>
      </c>
      <c r="AA179" s="254">
        <v>49360</v>
      </c>
      <c r="AB179" s="254">
        <v>49360</v>
      </c>
      <c r="AC179" s="254">
        <v>49360</v>
      </c>
      <c r="AD179" s="3"/>
      <c r="AE179" s="224"/>
      <c r="AF179" s="224"/>
      <c r="AG179" s="224"/>
      <c r="AH179" s="3"/>
    </row>
    <row r="180" spans="15:34" ht="15" hidden="1">
      <c r="O180" s="34" t="s">
        <v>385</v>
      </c>
      <c r="P180" s="35" t="str">
        <f>VLOOKUP(O174,P175:Q178,2,0)</f>
        <v>SPP-IA</v>
      </c>
      <c r="Q180" s="35"/>
      <c r="R180" s="35"/>
      <c r="S180" s="35"/>
      <c r="T180" s="37"/>
      <c r="X180" s="1">
        <v>58</v>
      </c>
      <c r="Y180" s="254">
        <v>49360</v>
      </c>
      <c r="Z180" s="254">
        <v>50560</v>
      </c>
      <c r="AA180" s="254">
        <v>50560</v>
      </c>
      <c r="AB180" s="254">
        <v>50560</v>
      </c>
      <c r="AC180" s="254">
        <v>50560</v>
      </c>
      <c r="AD180" s="3"/>
      <c r="AE180" s="224"/>
      <c r="AF180" s="224"/>
      <c r="AG180" s="224"/>
      <c r="AH180" s="3"/>
    </row>
    <row r="181" spans="15:34" ht="15" hidden="1">
      <c r="O181" s="34"/>
      <c r="P181" s="35"/>
      <c r="Q181" s="35"/>
      <c r="R181" s="35"/>
      <c r="S181" s="35"/>
      <c r="T181" s="37"/>
      <c r="X181" s="1">
        <v>59</v>
      </c>
      <c r="Y181" s="254">
        <v>50560</v>
      </c>
      <c r="Z181" s="254">
        <v>51760</v>
      </c>
      <c r="AA181" s="254">
        <v>51760</v>
      </c>
      <c r="AB181" s="254">
        <v>51760</v>
      </c>
      <c r="AC181" s="254">
        <v>51760</v>
      </c>
      <c r="AD181" s="3"/>
      <c r="AE181" s="224"/>
      <c r="AF181" s="224"/>
      <c r="AG181" s="224"/>
      <c r="AH181" s="3"/>
    </row>
    <row r="182" spans="15:34" ht="15" hidden="1">
      <c r="O182" s="199"/>
      <c r="P182" s="220"/>
      <c r="Q182" s="220" t="s">
        <v>33</v>
      </c>
      <c r="R182" s="220" t="s">
        <v>38</v>
      </c>
      <c r="S182" s="220" t="s">
        <v>402</v>
      </c>
      <c r="T182" s="200"/>
      <c r="X182" s="1">
        <v>60</v>
      </c>
      <c r="Y182" s="254">
        <v>51760</v>
      </c>
      <c r="Z182" s="254">
        <v>53060</v>
      </c>
      <c r="AA182" s="254">
        <v>53060</v>
      </c>
      <c r="AB182" s="254">
        <v>53060</v>
      </c>
      <c r="AC182" s="254">
        <v>53060</v>
      </c>
      <c r="AD182" s="3"/>
      <c r="AE182" s="224"/>
      <c r="AF182" s="224"/>
      <c r="AG182" s="224"/>
      <c r="AH182" s="3"/>
    </row>
    <row r="183" spans="15:34" ht="15" hidden="1">
      <c r="O183" s="199"/>
      <c r="P183" s="220"/>
      <c r="Q183" s="220" t="s">
        <v>34</v>
      </c>
      <c r="R183" s="220" t="s">
        <v>36</v>
      </c>
      <c r="S183" s="220" t="s">
        <v>39</v>
      </c>
      <c r="T183" s="200"/>
      <c r="X183" s="1">
        <v>61</v>
      </c>
      <c r="Y183" s="254">
        <v>53060</v>
      </c>
      <c r="Z183" s="254">
        <v>54360</v>
      </c>
      <c r="AA183" s="254">
        <v>54360</v>
      </c>
      <c r="AB183" s="254">
        <v>54360</v>
      </c>
      <c r="AC183" s="254">
        <v>54360</v>
      </c>
      <c r="AD183" s="3"/>
      <c r="AE183" s="224"/>
      <c r="AF183" s="224"/>
      <c r="AG183" s="224"/>
      <c r="AH183" s="3"/>
    </row>
    <row r="184" spans="15:34" ht="15" hidden="1">
      <c r="O184" s="199"/>
      <c r="P184" s="220" t="s">
        <v>30</v>
      </c>
      <c r="Q184" s="220" t="s">
        <v>35</v>
      </c>
      <c r="R184" s="220" t="s">
        <v>37</v>
      </c>
      <c r="S184" s="220" t="s">
        <v>40</v>
      </c>
      <c r="T184" s="200">
        <v>6</v>
      </c>
      <c r="U184" s="220" t="s">
        <v>513</v>
      </c>
      <c r="X184" s="1">
        <v>62</v>
      </c>
      <c r="Y184" s="254">
        <v>54360</v>
      </c>
      <c r="Z184" s="254">
        <v>55660</v>
      </c>
      <c r="AA184" s="254">
        <v>55660</v>
      </c>
      <c r="AB184" s="254">
        <v>55660</v>
      </c>
      <c r="AC184" s="254">
        <v>55660</v>
      </c>
      <c r="AD184" s="3"/>
      <c r="AE184" s="224"/>
      <c r="AF184" s="224"/>
      <c r="AG184" s="224"/>
      <c r="AH184" s="3"/>
    </row>
    <row r="185" spans="15:34" ht="15" hidden="1">
      <c r="O185" s="199"/>
      <c r="P185" s="220" t="s">
        <v>31</v>
      </c>
      <c r="Q185" s="220" t="s">
        <v>36</v>
      </c>
      <c r="R185" s="220" t="s">
        <v>39</v>
      </c>
      <c r="S185" s="220" t="s">
        <v>40</v>
      </c>
      <c r="T185" s="200">
        <v>12</v>
      </c>
      <c r="U185" s="220" t="s">
        <v>513</v>
      </c>
      <c r="X185" s="1">
        <v>63</v>
      </c>
      <c r="Y185" s="254">
        <v>55660</v>
      </c>
      <c r="Z185" s="254">
        <f aca="true" t="shared" si="31" ref="Z185:AB186">Z184+1300</f>
        <v>56960</v>
      </c>
      <c r="AA185" s="254">
        <f t="shared" si="31"/>
        <v>56960</v>
      </c>
      <c r="AB185" s="254">
        <f t="shared" si="31"/>
        <v>56960</v>
      </c>
      <c r="AC185" s="254">
        <f>AC184+1300</f>
        <v>56960</v>
      </c>
      <c r="AD185" s="3"/>
      <c r="AE185" s="224"/>
      <c r="AF185" s="224"/>
      <c r="AG185" s="224"/>
      <c r="AH185" s="3"/>
    </row>
    <row r="186" spans="15:34" ht="15" hidden="1">
      <c r="O186" s="199"/>
      <c r="P186" s="220" t="s">
        <v>45</v>
      </c>
      <c r="Q186" s="220" t="s">
        <v>36</v>
      </c>
      <c r="R186" s="220" t="s">
        <v>39</v>
      </c>
      <c r="S186" s="220" t="s">
        <v>40</v>
      </c>
      <c r="T186" s="200">
        <v>18</v>
      </c>
      <c r="U186" s="220" t="s">
        <v>513</v>
      </c>
      <c r="X186" s="1">
        <v>64</v>
      </c>
      <c r="Y186" s="254">
        <f>Y185+1300</f>
        <v>56960</v>
      </c>
      <c r="Z186" s="254">
        <f t="shared" si="31"/>
        <v>58260</v>
      </c>
      <c r="AA186" s="254">
        <f t="shared" si="31"/>
        <v>58260</v>
      </c>
      <c r="AB186" s="254">
        <f t="shared" si="31"/>
        <v>58260</v>
      </c>
      <c r="AC186" s="254">
        <f>AC185+1300</f>
        <v>58260</v>
      </c>
      <c r="AD186" s="3"/>
      <c r="AE186" s="224"/>
      <c r="AF186" s="224"/>
      <c r="AG186" s="224"/>
      <c r="AH186" s="3"/>
    </row>
    <row r="187" spans="15:34" ht="15" hidden="1">
      <c r="O187" s="199"/>
      <c r="P187" s="220" t="s">
        <v>32</v>
      </c>
      <c r="Q187" s="220" t="s">
        <v>39</v>
      </c>
      <c r="R187" s="220" t="s">
        <v>39</v>
      </c>
      <c r="S187" s="220" t="s">
        <v>41</v>
      </c>
      <c r="T187" s="200">
        <v>24</v>
      </c>
      <c r="U187" s="220" t="s">
        <v>513</v>
      </c>
      <c r="Y187" s="224"/>
      <c r="Z187" s="224"/>
      <c r="AA187" s="224"/>
      <c r="AD187" s="3"/>
      <c r="AE187" s="3"/>
      <c r="AF187" s="3"/>
      <c r="AG187" s="3"/>
      <c r="AH187" s="3"/>
    </row>
    <row r="188" spans="15:20" ht="15" hidden="1">
      <c r="O188" s="199"/>
      <c r="P188" s="220"/>
      <c r="Q188" s="220"/>
      <c r="R188" s="220"/>
      <c r="S188" s="220"/>
      <c r="T188" s="200"/>
    </row>
    <row r="189" spans="15:20" ht="15" hidden="1">
      <c r="O189" s="199" t="str">
        <f>P180</f>
        <v>SPP-IA</v>
      </c>
      <c r="P189" s="220" t="str">
        <f>IF(P174=1,VLOOKUP(O189,P184:S187,4,0),IF(P174=2,VLOOKUP(O189,P184:S187,3,0),IF(P174=3,VLOOKUP(O189,P184:S187,2,0),IF(P174=4,VLOOKUP(O189,P184:U187,6,0)))))</f>
        <v>14860-39540</v>
      </c>
      <c r="Q189" s="220">
        <f>VLOOKUP(O189,P184:T187,5,0)</f>
        <v>12</v>
      </c>
      <c r="R189" s="220" t="str">
        <f>IF(P174=1,VLOOKUP(O174,P193:S196,4,0),IF(P174=2,VLOOKUP(O174,P193:S196,3,0),IF(P174=3,VLOOKUP(O174,P193:S196,2,0),IF(P174=4,VLOOKUP(O174,P193:T196,5,0)))))</f>
        <v>11530-33200</v>
      </c>
      <c r="S189" s="220"/>
      <c r="T189" s="200"/>
    </row>
    <row r="190" spans="15:20" ht="15" hidden="1">
      <c r="O190" s="199"/>
      <c r="P190" s="198"/>
      <c r="Q190" s="220"/>
      <c r="R190" s="220"/>
      <c r="S190" s="220"/>
      <c r="T190" s="200"/>
    </row>
    <row r="191" spans="15:20" ht="15" hidden="1">
      <c r="O191" s="199"/>
      <c r="P191" s="220"/>
      <c r="Q191" s="220"/>
      <c r="R191" s="220"/>
      <c r="S191" s="220"/>
      <c r="T191" s="200"/>
    </row>
    <row r="192" spans="15:20" ht="15" hidden="1">
      <c r="O192" s="199"/>
      <c r="P192" s="220"/>
      <c r="Q192" s="220"/>
      <c r="R192" s="220"/>
      <c r="S192" s="220"/>
      <c r="T192" s="200"/>
    </row>
    <row r="193" spans="15:21" ht="15" hidden="1">
      <c r="O193" s="199"/>
      <c r="P193" s="220">
        <v>6</v>
      </c>
      <c r="Q193" s="220" t="s">
        <v>34</v>
      </c>
      <c r="R193" s="220" t="s">
        <v>36</v>
      </c>
      <c r="S193" s="220" t="s">
        <v>39</v>
      </c>
      <c r="T193" s="200" t="s">
        <v>513</v>
      </c>
      <c r="U193" s="1">
        <v>6</v>
      </c>
    </row>
    <row r="194" spans="15:21" ht="15" hidden="1">
      <c r="O194" s="199"/>
      <c r="P194" s="220">
        <v>12</v>
      </c>
      <c r="Q194" s="220" t="s">
        <v>35</v>
      </c>
      <c r="R194" s="220" t="s">
        <v>37</v>
      </c>
      <c r="S194" s="220" t="s">
        <v>40</v>
      </c>
      <c r="T194" s="200" t="s">
        <v>513</v>
      </c>
      <c r="U194" s="1">
        <v>12</v>
      </c>
    </row>
    <row r="195" spans="15:21" ht="15" hidden="1">
      <c r="O195" s="199"/>
      <c r="P195" s="220">
        <v>18</v>
      </c>
      <c r="Q195" s="220" t="s">
        <v>36</v>
      </c>
      <c r="R195" s="220" t="s">
        <v>39</v>
      </c>
      <c r="S195" s="220" t="s">
        <v>40</v>
      </c>
      <c r="T195" s="200" t="s">
        <v>513</v>
      </c>
      <c r="U195" s="1">
        <v>18</v>
      </c>
    </row>
    <row r="196" spans="15:21" ht="15" hidden="1">
      <c r="O196" s="199"/>
      <c r="P196" s="220">
        <v>24</v>
      </c>
      <c r="Q196" s="220" t="s">
        <v>36</v>
      </c>
      <c r="R196" s="220" t="s">
        <v>39</v>
      </c>
      <c r="S196" s="220" t="s">
        <v>40</v>
      </c>
      <c r="T196" s="200" t="s">
        <v>513</v>
      </c>
      <c r="U196" s="1">
        <v>24</v>
      </c>
    </row>
    <row r="197" spans="15:20" ht="15.75" hidden="1" thickBot="1">
      <c r="O197" s="72"/>
      <c r="P197" s="73"/>
      <c r="Q197" s="73"/>
      <c r="R197" s="73"/>
      <c r="S197" s="73"/>
      <c r="T197" s="74"/>
    </row>
    <row r="198" ht="15.75" hidden="1" thickTop="1"/>
    <row r="199" ht="15" hidden="1"/>
  </sheetData>
  <sheetProtection password="E69A" sheet="1" objects="1" scenarios="1" selectLockedCells="1"/>
  <mergeCells count="57">
    <mergeCell ref="I15:J15"/>
    <mergeCell ref="F7:I7"/>
    <mergeCell ref="F6:I6"/>
    <mergeCell ref="F5:G5"/>
    <mergeCell ref="H5:I5"/>
    <mergeCell ref="H11:K11"/>
    <mergeCell ref="D12:F12"/>
    <mergeCell ref="E14:F14"/>
    <mergeCell ref="M12:M13"/>
    <mergeCell ref="AD120:AG121"/>
    <mergeCell ref="N1:P17"/>
    <mergeCell ref="F9:G11"/>
    <mergeCell ref="I16:J16"/>
    <mergeCell ref="K16:L16"/>
    <mergeCell ref="J10:M10"/>
    <mergeCell ref="I13:J13"/>
    <mergeCell ref="I14:J14"/>
    <mergeCell ref="G16:H16"/>
    <mergeCell ref="B11:C11"/>
    <mergeCell ref="K15:L15"/>
    <mergeCell ref="I12:J12"/>
    <mergeCell ref="G14:H14"/>
    <mergeCell ref="G12:H12"/>
    <mergeCell ref="F8:I8"/>
    <mergeCell ref="H9:I9"/>
    <mergeCell ref="H10:I10"/>
    <mergeCell ref="L11:M11"/>
    <mergeCell ref="B14:C14"/>
    <mergeCell ref="B13:C13"/>
    <mergeCell ref="D13:F13"/>
    <mergeCell ref="G13:H13"/>
    <mergeCell ref="G15:H15"/>
    <mergeCell ref="B10:C10"/>
    <mergeCell ref="B17:C17"/>
    <mergeCell ref="D17:F17"/>
    <mergeCell ref="B15:C15"/>
    <mergeCell ref="D15:F15"/>
    <mergeCell ref="B12:C12"/>
    <mergeCell ref="B16:C16"/>
    <mergeCell ref="D16:F16"/>
    <mergeCell ref="D7:E7"/>
    <mergeCell ref="J9:M9"/>
    <mergeCell ref="D8:E8"/>
    <mergeCell ref="B7:C7"/>
    <mergeCell ref="B9:C9"/>
    <mergeCell ref="B8:C8"/>
    <mergeCell ref="J2:L8"/>
    <mergeCell ref="G4:H4"/>
    <mergeCell ref="B6:C6"/>
    <mergeCell ref="B5:C5"/>
    <mergeCell ref="B4:C4"/>
    <mergeCell ref="B1:M1"/>
    <mergeCell ref="E2:F2"/>
    <mergeCell ref="B2:C2"/>
    <mergeCell ref="B3:C3"/>
    <mergeCell ref="G3:H3"/>
    <mergeCell ref="G2:H2"/>
  </mergeCells>
  <dataValidations count="1">
    <dataValidation allowBlank="1" showInputMessage="1" showErrorMessage="1" sqref="M12"/>
  </dataValidations>
  <printOptions/>
  <pageMargins left="0.7" right="0.7" top="0.75" bottom="0.75" header="0.3" footer="0.3"/>
  <pageSetup horizontalDpi="300" verticalDpi="300" orientation="portrait" r:id="rId4"/>
  <ignoredErrors>
    <ignoredError sqref="BI126 AU126 AZ126" formula="1"/>
  </ignoredErrors>
  <drawing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2:H51"/>
  <sheetViews>
    <sheetView showGridLines="0" showRowColHeaders="0" zoomScalePageLayoutView="0" workbookViewId="0" topLeftCell="A1">
      <selection activeCell="M37" sqref="M37"/>
    </sheetView>
  </sheetViews>
  <sheetFormatPr defaultColWidth="9.140625" defaultRowHeight="15"/>
  <cols>
    <col min="1" max="1" width="5.00390625" style="0" customWidth="1"/>
    <col min="2" max="2" width="9.7109375" style="0" customWidth="1"/>
    <col min="3" max="3" width="16.28125" style="0" customWidth="1"/>
    <col min="4" max="4" width="21.28125" style="0" customWidth="1"/>
    <col min="5" max="5" width="10.00390625" style="0" customWidth="1"/>
    <col min="6" max="6" width="7.7109375" style="0" customWidth="1"/>
    <col min="7" max="7" width="7.57421875" style="0" customWidth="1"/>
    <col min="8" max="8" width="11.140625" style="0" customWidth="1"/>
  </cols>
  <sheetData>
    <row r="1" s="1" customFormat="1" ht="15"/>
    <row r="2" spans="1:8" ht="15.75" customHeight="1">
      <c r="A2" s="725" t="str">
        <f>CONCATENATE(" Statement Showing the CPS Recovery Schedule of  ",DATA!T130," ",DATA!E2,", ",DATA!V120,", ",DATA!D7,", ",DATA!D8," ( Mandal )",DATA!L14," ( Dt. )")</f>
        <v> Statement Showing the CPS Recovery Schedule of  Sri. K.Chandra sekhar, S.G.T., Jonnagiri, Tuggali ( Mandal )Kurnool ( Dt. )</v>
      </c>
      <c r="B2" s="725"/>
      <c r="C2" s="725"/>
      <c r="D2" s="725"/>
      <c r="E2" s="725"/>
      <c r="F2" s="725"/>
      <c r="G2" s="725"/>
      <c r="H2" s="725"/>
    </row>
    <row r="3" spans="1:8" s="1" customFormat="1" ht="18" customHeight="1">
      <c r="A3" s="725"/>
      <c r="B3" s="725"/>
      <c r="C3" s="725"/>
      <c r="D3" s="725"/>
      <c r="E3" s="725"/>
      <c r="F3" s="725"/>
      <c r="G3" s="725"/>
      <c r="H3" s="725"/>
    </row>
    <row r="4" spans="1:8" ht="15">
      <c r="A4" s="730" t="s">
        <v>497</v>
      </c>
      <c r="B4" s="730"/>
      <c r="C4" s="730"/>
      <c r="D4" s="730"/>
      <c r="E4" s="730"/>
      <c r="F4" s="730"/>
      <c r="G4" s="730"/>
      <c r="H4" s="730"/>
    </row>
    <row r="5" spans="1:8" ht="11.25" customHeight="1">
      <c r="A5" s="727"/>
      <c r="B5" s="727"/>
      <c r="C5" s="727"/>
      <c r="D5" s="727"/>
      <c r="E5" s="727"/>
      <c r="F5" s="727"/>
      <c r="G5" s="727"/>
      <c r="H5" s="727"/>
    </row>
    <row r="6" spans="1:8" ht="15">
      <c r="A6" s="354" t="s">
        <v>502</v>
      </c>
      <c r="B6" s="354"/>
      <c r="C6" s="367">
        <f>DATA!M15</f>
        <v>913</v>
      </c>
      <c r="D6" s="365"/>
      <c r="E6" s="354" t="s">
        <v>503</v>
      </c>
      <c r="F6" s="354" t="str">
        <f>'Annexure 1 &amp;2'!E31</f>
        <v>Sri.T.V.Sreeenivasulu,M.Sc.,B.Ed.</v>
      </c>
      <c r="G6" s="363"/>
      <c r="H6" s="363"/>
    </row>
    <row r="7" spans="1:8" ht="15">
      <c r="A7" s="354" t="s">
        <v>508</v>
      </c>
      <c r="B7" s="354"/>
      <c r="C7" s="371">
        <f>DATA!H5</f>
        <v>25879643254569</v>
      </c>
      <c r="D7" s="354"/>
      <c r="E7" s="354" t="s">
        <v>504</v>
      </c>
      <c r="F7" s="729">
        <f>DATA!D15</f>
        <v>9130308020</v>
      </c>
      <c r="G7" s="729"/>
      <c r="H7" s="363"/>
    </row>
    <row r="8" spans="1:8" ht="15">
      <c r="A8" s="354" t="s">
        <v>96</v>
      </c>
      <c r="B8" s="353"/>
      <c r="C8" s="370" t="s">
        <v>509</v>
      </c>
      <c r="D8" s="356"/>
      <c r="E8" s="353"/>
      <c r="F8" s="353"/>
      <c r="G8" s="355"/>
      <c r="H8" s="355"/>
    </row>
    <row r="9" spans="1:8" ht="15" customHeight="1">
      <c r="A9" s="357"/>
      <c r="B9" s="355"/>
      <c r="C9" s="358"/>
      <c r="D9" s="355"/>
      <c r="E9" s="357"/>
      <c r="F9" s="353"/>
      <c r="G9" s="353"/>
      <c r="H9" s="353"/>
    </row>
    <row r="10" spans="1:8" ht="15">
      <c r="A10" s="355"/>
      <c r="B10" s="359"/>
      <c r="C10" s="359"/>
      <c r="D10" s="355"/>
      <c r="E10" s="355"/>
      <c r="F10" s="355"/>
      <c r="G10" s="355"/>
      <c r="H10" s="355"/>
    </row>
    <row r="11" spans="1:8" ht="15">
      <c r="A11" s="728" t="s">
        <v>498</v>
      </c>
      <c r="B11" s="728" t="s">
        <v>499</v>
      </c>
      <c r="C11" s="728" t="s">
        <v>505</v>
      </c>
      <c r="D11" s="728" t="s">
        <v>240</v>
      </c>
      <c r="E11" s="728" t="s">
        <v>264</v>
      </c>
      <c r="F11" s="728" t="s">
        <v>386</v>
      </c>
      <c r="G11" s="728" t="s">
        <v>78</v>
      </c>
      <c r="H11" s="724" t="s">
        <v>501</v>
      </c>
    </row>
    <row r="12" spans="1:8" ht="15">
      <c r="A12" s="728"/>
      <c r="B12" s="728"/>
      <c r="C12" s="728"/>
      <c r="D12" s="728"/>
      <c r="E12" s="728"/>
      <c r="F12" s="728"/>
      <c r="G12" s="728"/>
      <c r="H12" s="724"/>
    </row>
    <row r="13" spans="1:8" ht="37.5" customHeight="1">
      <c r="A13" s="360">
        <v>1</v>
      </c>
      <c r="B13" s="360">
        <f>DATA!D12</f>
        <v>938023</v>
      </c>
      <c r="C13" s="361">
        <f>DATA!H5</f>
        <v>25879643254569</v>
      </c>
      <c r="D13" s="368" t="str">
        <f>CONCATENATE(DATA!T130," ",DATA!E2,", ",DATA!V120)</f>
        <v>Sri. K.Chandra sekhar, S.G.T.</v>
      </c>
      <c r="E13" s="360">
        <f>Bill!Q11</f>
        <v>1908</v>
      </c>
      <c r="F13" s="360">
        <f>Bill!R11</f>
        <v>1208</v>
      </c>
      <c r="G13" s="360">
        <f>E13+F13</f>
        <v>3116</v>
      </c>
      <c r="H13" s="360">
        <f>IF(Bill!V11=""," Nil ",Bill!V11)</f>
        <v>0</v>
      </c>
    </row>
    <row r="14" spans="1:8" ht="15">
      <c r="A14" s="356"/>
      <c r="B14" s="356"/>
      <c r="C14" s="356"/>
      <c r="D14" s="356"/>
      <c r="E14" s="356"/>
      <c r="F14" s="356"/>
      <c r="G14" s="356"/>
      <c r="H14" s="356"/>
    </row>
    <row r="15" spans="1:8" s="1" customFormat="1" ht="15">
      <c r="A15" s="362" t="str">
        <f>IF(H13=" Nil ","",CONCATENATE("Rs. In words: ",DATA!AL153))</f>
        <v>Rs. In words: Zero</v>
      </c>
      <c r="B15" s="356"/>
      <c r="C15" s="356"/>
      <c r="D15" s="356"/>
      <c r="E15" s="356"/>
      <c r="F15" s="356"/>
      <c r="G15" s="356"/>
      <c r="H15" s="356"/>
    </row>
    <row r="16" spans="1:8" s="1" customFormat="1" ht="15">
      <c r="A16" s="362"/>
      <c r="B16" s="356"/>
      <c r="C16" s="356"/>
      <c r="D16" s="356"/>
      <c r="E16" s="356"/>
      <c r="F16" s="356"/>
      <c r="G16" s="356"/>
      <c r="H16" s="356"/>
    </row>
    <row r="17" spans="1:8" s="1" customFormat="1" ht="15">
      <c r="A17" s="362"/>
      <c r="B17" s="356"/>
      <c r="C17" s="356"/>
      <c r="D17" s="356"/>
      <c r="E17" s="356"/>
      <c r="F17" s="356"/>
      <c r="G17" s="356"/>
      <c r="H17" s="356"/>
    </row>
    <row r="18" spans="1:8" s="1" customFormat="1" ht="15">
      <c r="A18" s="356"/>
      <c r="B18" s="356"/>
      <c r="C18" s="356"/>
      <c r="D18" s="356"/>
      <c r="E18" s="356"/>
      <c r="F18" s="356"/>
      <c r="G18" s="356"/>
      <c r="H18" s="356"/>
    </row>
    <row r="19" spans="1:8" ht="15">
      <c r="A19" s="356"/>
      <c r="B19" s="356"/>
      <c r="C19" s="356"/>
      <c r="D19" s="356"/>
      <c r="E19" s="362" t="s">
        <v>204</v>
      </c>
      <c r="F19" s="356"/>
      <c r="G19" s="356"/>
      <c r="H19" s="356"/>
    </row>
    <row r="20" spans="1:8" ht="15">
      <c r="A20" s="356"/>
      <c r="B20" s="356"/>
      <c r="C20" s="356"/>
      <c r="D20" s="356"/>
      <c r="E20" s="356"/>
      <c r="F20" s="356"/>
      <c r="G20" s="356"/>
      <c r="H20" s="356"/>
    </row>
    <row r="21" spans="1:8" ht="15">
      <c r="A21" s="356"/>
      <c r="B21" s="356"/>
      <c r="C21" s="356"/>
      <c r="D21" s="356"/>
      <c r="E21" s="356"/>
      <c r="F21" s="356"/>
      <c r="G21" s="356"/>
      <c r="H21" s="356"/>
    </row>
    <row r="22" spans="1:8" ht="15">
      <c r="A22" s="356"/>
      <c r="B22" s="356"/>
      <c r="C22" s="356"/>
      <c r="D22" s="356"/>
      <c r="E22" s="356"/>
      <c r="F22" s="356"/>
      <c r="G22" s="356"/>
      <c r="H22" s="356"/>
    </row>
    <row r="23" spans="1:8" s="1" customFormat="1" ht="15">
      <c r="A23" s="356"/>
      <c r="B23" s="356"/>
      <c r="C23" s="356"/>
      <c r="D23" s="356"/>
      <c r="E23" s="356"/>
      <c r="F23" s="356"/>
      <c r="G23" s="356"/>
      <c r="H23" s="356"/>
    </row>
    <row r="24" spans="1:8" s="1" customFormat="1" ht="15">
      <c r="A24" s="356"/>
      <c r="B24" s="356"/>
      <c r="C24" s="356"/>
      <c r="D24" s="356"/>
      <c r="E24" s="356"/>
      <c r="F24" s="356"/>
      <c r="G24" s="356"/>
      <c r="H24" s="356"/>
    </row>
    <row r="25" spans="1:8" ht="15">
      <c r="A25" s="11"/>
      <c r="B25" s="11"/>
      <c r="C25" s="11"/>
      <c r="D25" s="11"/>
      <c r="E25" s="11"/>
      <c r="F25" s="11"/>
      <c r="G25" s="11"/>
      <c r="H25" s="11"/>
    </row>
    <row r="26" spans="1:8" ht="15">
      <c r="A26" s="725" t="str">
        <f>A2</f>
        <v> Statement Showing the CPS Recovery Schedule of  Sri. K.Chandra sekhar, S.G.T., Jonnagiri, Tuggali ( Mandal )Kurnool ( Dt. )</v>
      </c>
      <c r="B26" s="725"/>
      <c r="C26" s="725"/>
      <c r="D26" s="725"/>
      <c r="E26" s="725"/>
      <c r="F26" s="725"/>
      <c r="G26" s="725"/>
      <c r="H26" s="725"/>
    </row>
    <row r="27" spans="1:8" ht="24.75" customHeight="1">
      <c r="A27" s="725"/>
      <c r="B27" s="725"/>
      <c r="C27" s="725"/>
      <c r="D27" s="725"/>
      <c r="E27" s="725"/>
      <c r="F27" s="725"/>
      <c r="G27" s="725"/>
      <c r="H27" s="725"/>
    </row>
    <row r="28" spans="1:8" ht="15">
      <c r="A28" s="726" t="s">
        <v>497</v>
      </c>
      <c r="B28" s="726"/>
      <c r="C28" s="726"/>
      <c r="D28" s="726"/>
      <c r="E28" s="726"/>
      <c r="F28" s="726"/>
      <c r="G28" s="726"/>
      <c r="H28" s="726"/>
    </row>
    <row r="29" spans="1:8" ht="15">
      <c r="A29" s="727"/>
      <c r="B29" s="727"/>
      <c r="C29" s="727"/>
      <c r="D29" s="727"/>
      <c r="E29" s="727"/>
      <c r="F29" s="727"/>
      <c r="G29" s="727"/>
      <c r="H29" s="727"/>
    </row>
    <row r="30" spans="1:8" ht="15">
      <c r="A30" s="363" t="s">
        <v>502</v>
      </c>
      <c r="B30" s="354"/>
      <c r="C30" s="364">
        <f>C6</f>
        <v>913</v>
      </c>
      <c r="D30" s="365"/>
      <c r="E30" s="354" t="s">
        <v>506</v>
      </c>
      <c r="F30" s="354" t="str">
        <f>F6</f>
        <v>Sri.T.V.Sreeenivasulu,M.Sc.,B.Ed.</v>
      </c>
      <c r="G30" s="363"/>
      <c r="H30" s="363"/>
    </row>
    <row r="31" spans="1:8" ht="15">
      <c r="A31" s="354" t="s">
        <v>508</v>
      </c>
      <c r="B31" s="354"/>
      <c r="C31" s="366">
        <f>DATA!H5</f>
        <v>25879643254569</v>
      </c>
      <c r="D31" s="354"/>
      <c r="E31" s="354" t="s">
        <v>507</v>
      </c>
      <c r="F31" s="729">
        <f>F7</f>
        <v>9130308020</v>
      </c>
      <c r="G31" s="729"/>
      <c r="H31" s="363"/>
    </row>
    <row r="32" spans="1:8" ht="15">
      <c r="A32" s="354" t="s">
        <v>96</v>
      </c>
      <c r="B32" s="353"/>
      <c r="C32" s="370" t="s">
        <v>509</v>
      </c>
      <c r="D32" s="356"/>
      <c r="E32" s="353"/>
      <c r="F32" s="353"/>
      <c r="G32" s="355"/>
      <c r="H32" s="355"/>
    </row>
    <row r="33" spans="1:8" ht="15">
      <c r="A33" s="357"/>
      <c r="B33" s="355"/>
      <c r="C33" s="358"/>
      <c r="D33" s="355"/>
      <c r="E33" s="357"/>
      <c r="F33" s="353"/>
      <c r="G33" s="353"/>
      <c r="H33" s="353"/>
    </row>
    <row r="34" spans="1:8" ht="15">
      <c r="A34" s="355"/>
      <c r="B34" s="359"/>
      <c r="C34" s="359"/>
      <c r="D34" s="355"/>
      <c r="E34" s="355"/>
      <c r="F34" s="355"/>
      <c r="G34" s="355"/>
      <c r="H34" s="355"/>
    </row>
    <row r="35" spans="1:8" ht="15">
      <c r="A35" s="728" t="s">
        <v>498</v>
      </c>
      <c r="B35" s="728" t="s">
        <v>499</v>
      </c>
      <c r="C35" s="728" t="s">
        <v>500</v>
      </c>
      <c r="D35" s="728" t="s">
        <v>240</v>
      </c>
      <c r="E35" s="728" t="s">
        <v>264</v>
      </c>
      <c r="F35" s="728" t="s">
        <v>386</v>
      </c>
      <c r="G35" s="728" t="s">
        <v>78</v>
      </c>
      <c r="H35" s="724" t="s">
        <v>501</v>
      </c>
    </row>
    <row r="36" spans="1:8" ht="15">
      <c r="A36" s="728"/>
      <c r="B36" s="728"/>
      <c r="C36" s="728"/>
      <c r="D36" s="728"/>
      <c r="E36" s="728"/>
      <c r="F36" s="728"/>
      <c r="G36" s="728"/>
      <c r="H36" s="724"/>
    </row>
    <row r="37" spans="1:8" ht="37.5" customHeight="1">
      <c r="A37" s="360">
        <v>1</v>
      </c>
      <c r="B37" s="360">
        <f aca="true" t="shared" si="0" ref="B37:H37">B13</f>
        <v>938023</v>
      </c>
      <c r="C37" s="361">
        <f t="shared" si="0"/>
        <v>25879643254569</v>
      </c>
      <c r="D37" s="368" t="str">
        <f t="shared" si="0"/>
        <v>Sri. K.Chandra sekhar, S.G.T.</v>
      </c>
      <c r="E37" s="360">
        <f t="shared" si="0"/>
        <v>1908</v>
      </c>
      <c r="F37" s="360">
        <f t="shared" si="0"/>
        <v>1208</v>
      </c>
      <c r="G37" s="360">
        <f t="shared" si="0"/>
        <v>3116</v>
      </c>
      <c r="H37" s="360">
        <f t="shared" si="0"/>
        <v>0</v>
      </c>
    </row>
    <row r="38" spans="1:8" ht="15">
      <c r="A38" s="356"/>
      <c r="B38" s="356"/>
      <c r="C38" s="356"/>
      <c r="D38" s="356"/>
      <c r="E38" s="356"/>
      <c r="F38" s="356"/>
      <c r="G38" s="356"/>
      <c r="H38" s="356"/>
    </row>
    <row r="39" spans="1:8" s="1" customFormat="1" ht="15">
      <c r="A39" s="362" t="str">
        <f>A15</f>
        <v>Rs. In words: Zero</v>
      </c>
      <c r="B39" s="356"/>
      <c r="C39" s="356"/>
      <c r="D39" s="356"/>
      <c r="E39" s="356"/>
      <c r="F39" s="356"/>
      <c r="G39" s="356"/>
      <c r="H39" s="356"/>
    </row>
    <row r="40" spans="1:8" s="1" customFormat="1" ht="15">
      <c r="A40" s="362"/>
      <c r="B40" s="356"/>
      <c r="C40" s="356"/>
      <c r="D40" s="356"/>
      <c r="E40" s="356"/>
      <c r="F40" s="356"/>
      <c r="G40" s="356"/>
      <c r="H40" s="356"/>
    </row>
    <row r="41" spans="1:8" s="1" customFormat="1" ht="15">
      <c r="A41" s="362"/>
      <c r="B41" s="356"/>
      <c r="C41" s="356"/>
      <c r="D41" s="356"/>
      <c r="E41" s="356"/>
      <c r="F41" s="356"/>
      <c r="G41" s="356"/>
      <c r="H41" s="356"/>
    </row>
    <row r="42" spans="1:8" s="1" customFormat="1" ht="15">
      <c r="A42" s="356"/>
      <c r="B42" s="356"/>
      <c r="C42" s="356"/>
      <c r="D42" s="356"/>
      <c r="E42" s="356"/>
      <c r="F42" s="356"/>
      <c r="G42" s="356"/>
      <c r="H42" s="356"/>
    </row>
    <row r="43" spans="1:8" ht="15">
      <c r="A43" s="356"/>
      <c r="B43" s="356"/>
      <c r="C43" s="356"/>
      <c r="D43" s="356"/>
      <c r="E43" s="362" t="s">
        <v>204</v>
      </c>
      <c r="F43" s="356"/>
      <c r="G43" s="356"/>
      <c r="H43" s="356"/>
    </row>
    <row r="44" spans="1:8" ht="15">
      <c r="A44" s="356"/>
      <c r="B44" s="356"/>
      <c r="C44" s="356"/>
      <c r="D44" s="356"/>
      <c r="E44" s="356"/>
      <c r="F44" s="356"/>
      <c r="G44" s="356"/>
      <c r="H44" s="356"/>
    </row>
    <row r="45" spans="1:8" ht="15">
      <c r="A45" s="356"/>
      <c r="B45" s="356"/>
      <c r="C45" s="356"/>
      <c r="D45" s="356"/>
      <c r="E45" s="356"/>
      <c r="F45" s="356"/>
      <c r="G45" s="356"/>
      <c r="H45" s="356"/>
    </row>
    <row r="46" spans="1:8" ht="15">
      <c r="A46" s="356"/>
      <c r="B46" s="356"/>
      <c r="C46" s="356"/>
      <c r="D46" s="356"/>
      <c r="E46" s="356"/>
      <c r="F46" s="356"/>
      <c r="G46" s="356"/>
      <c r="H46" s="356"/>
    </row>
    <row r="47" spans="1:8" ht="15">
      <c r="A47" s="11"/>
      <c r="B47" s="11"/>
      <c r="C47" s="11"/>
      <c r="D47" s="11"/>
      <c r="E47" s="11"/>
      <c r="F47" s="11"/>
      <c r="G47" s="11"/>
      <c r="H47" s="11"/>
    </row>
    <row r="48" spans="1:8" ht="15">
      <c r="A48" s="11"/>
      <c r="B48" s="11"/>
      <c r="C48" s="11"/>
      <c r="D48" s="11"/>
      <c r="E48" s="11"/>
      <c r="F48" s="11"/>
      <c r="G48" s="11"/>
      <c r="H48" s="11"/>
    </row>
    <row r="49" spans="1:8" ht="15">
      <c r="A49" s="11"/>
      <c r="B49" s="11"/>
      <c r="C49" s="11"/>
      <c r="D49" s="11"/>
      <c r="E49" s="11"/>
      <c r="F49" s="11"/>
      <c r="G49" s="11"/>
      <c r="H49" s="11"/>
    </row>
    <row r="50" spans="1:8" ht="15">
      <c r="A50" s="11"/>
      <c r="B50" s="11"/>
      <c r="C50" s="11"/>
      <c r="D50" s="11"/>
      <c r="E50" s="11"/>
      <c r="F50" s="11"/>
      <c r="G50" s="11"/>
      <c r="H50" s="11"/>
    </row>
    <row r="51" spans="1:8" ht="15">
      <c r="A51" s="11"/>
      <c r="B51" s="11"/>
      <c r="C51" s="11"/>
      <c r="D51" s="11"/>
      <c r="E51" s="11"/>
      <c r="F51" s="11"/>
      <c r="G51" s="11"/>
      <c r="H51" s="11"/>
    </row>
  </sheetData>
  <sheetProtection password="E69A" sheet="1" objects="1" scenarios="1" selectLockedCells="1" selectUnlockedCells="1"/>
  <mergeCells count="24">
    <mergeCell ref="A4:H4"/>
    <mergeCell ref="A5:H5"/>
    <mergeCell ref="A11:A12"/>
    <mergeCell ref="B11:B12"/>
    <mergeCell ref="C11:C12"/>
    <mergeCell ref="F11:F12"/>
    <mergeCell ref="G11:G12"/>
    <mergeCell ref="A35:A36"/>
    <mergeCell ref="B35:B36"/>
    <mergeCell ref="C35:C36"/>
    <mergeCell ref="D35:D36"/>
    <mergeCell ref="E35:E36"/>
    <mergeCell ref="F7:G7"/>
    <mergeCell ref="F31:G31"/>
    <mergeCell ref="H35:H36"/>
    <mergeCell ref="H11:H12"/>
    <mergeCell ref="A2:H3"/>
    <mergeCell ref="A26:H27"/>
    <mergeCell ref="A28:H28"/>
    <mergeCell ref="A29:H29"/>
    <mergeCell ref="D11:D12"/>
    <mergeCell ref="E11:E12"/>
    <mergeCell ref="F35:F36"/>
    <mergeCell ref="G35:G36"/>
  </mergeCells>
  <printOptions/>
  <pageMargins left="0.56" right="0.24" top="0.46" bottom="0.34"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8"/>
  <sheetViews>
    <sheetView showGridLines="0" showRowColHeaders="0" zoomScalePageLayoutView="0" workbookViewId="0" topLeftCell="A1">
      <selection activeCell="S13" sqref="S13"/>
    </sheetView>
  </sheetViews>
  <sheetFormatPr defaultColWidth="9.140625" defaultRowHeight="15"/>
  <cols>
    <col min="1" max="1" width="5.7109375" style="11" customWidth="1"/>
    <col min="2" max="2" width="4.421875" style="11" customWidth="1"/>
    <col min="3" max="3" width="10.7109375" style="11" customWidth="1"/>
    <col min="4" max="4" width="11.7109375" style="11" customWidth="1"/>
    <col min="5" max="6" width="10.7109375" style="11" customWidth="1"/>
    <col min="7" max="7" width="8.00390625" style="11" customWidth="1"/>
    <col min="8" max="8" width="1.57421875" style="11" customWidth="1"/>
    <col min="9" max="9" width="14.8515625" style="11" customWidth="1"/>
    <col min="10" max="10" width="11.7109375" style="11" customWidth="1"/>
    <col min="11" max="12" width="9.140625" style="11" customWidth="1"/>
    <col min="13" max="13" width="6.57421875" style="11" hidden="1" customWidth="1"/>
    <col min="14" max="16384" width="9.140625" style="11" customWidth="1"/>
  </cols>
  <sheetData>
    <row r="1" spans="1:10" ht="19.5">
      <c r="A1" s="485" t="str">
        <f>CONCATENATE("Proceeding of ",DATA!O144," ,",DATA!P144," ,",DATA!M17)</f>
        <v>Proceeding of Mandal Educational Officer ,Mandal Parishad ,Tuggali</v>
      </c>
      <c r="B1" s="485"/>
      <c r="C1" s="485"/>
      <c r="D1" s="485"/>
      <c r="E1" s="485"/>
      <c r="F1" s="485"/>
      <c r="G1" s="485"/>
      <c r="H1" s="485"/>
      <c r="I1" s="485"/>
      <c r="J1" s="485"/>
    </row>
    <row r="2" spans="1:10" ht="15.75">
      <c r="A2" s="487" t="str">
        <f>CONCATENATE("Present : ",DATA!U130," ",DATA!E14," ,",DATA!O151,".",",",DATA!P151,".")</f>
        <v>Present : Sri. T.V.Sreeenivasulu ,M.Sc.,B.Ed.</v>
      </c>
      <c r="B2" s="487"/>
      <c r="C2" s="487"/>
      <c r="D2" s="487"/>
      <c r="E2" s="487"/>
      <c r="F2" s="487"/>
      <c r="G2" s="487"/>
      <c r="H2" s="487"/>
      <c r="I2" s="487"/>
      <c r="J2" s="487"/>
    </row>
    <row r="3" spans="1:12" ht="15">
      <c r="A3" s="107" t="s">
        <v>434</v>
      </c>
      <c r="B3" s="107"/>
      <c r="C3" s="107"/>
      <c r="D3" s="107"/>
      <c r="E3" s="107"/>
      <c r="F3" s="107"/>
      <c r="G3" s="107"/>
      <c r="H3" s="107" t="s">
        <v>155</v>
      </c>
      <c r="I3" s="107"/>
      <c r="J3" s="107"/>
      <c r="L3" s="384"/>
    </row>
    <row r="4" spans="1:12" ht="15">
      <c r="A4" s="107"/>
      <c r="B4" s="107"/>
      <c r="C4" s="107"/>
      <c r="D4" s="107"/>
      <c r="E4" s="107"/>
      <c r="F4" s="107"/>
      <c r="G4" s="107"/>
      <c r="H4" s="107"/>
      <c r="I4" s="107"/>
      <c r="J4" s="107"/>
      <c r="L4" s="384"/>
    </row>
    <row r="5" spans="1:11" ht="23.25" customHeight="1">
      <c r="A5" s="107"/>
      <c r="B5" s="343" t="s">
        <v>70</v>
      </c>
      <c r="C5" s="484" t="str">
        <f>CONCATENATE(" APSESS - Modified Automatic Advancement Scheme - Pay Fixation of  ",DATA!T130,DATA!E2,", ",DATA!V120,",",DATA!T148," ,",DATA!D7,"  in  "&amp;DATA!O189,"   Scale  ",,DATA!V121," cadre "," - ","Orders - Issued.")</f>
        <v> APSESS - Modified Automatic Advancement Scheme - Pay Fixation of  Sri.K.Chandra sekhar, S.G.T.,ZPH School ,Jonnagiri  in  SPP-IA   Scale  S.G.T/LP cadre  - Orders - Issued.</v>
      </c>
      <c r="D5" s="484"/>
      <c r="E5" s="484"/>
      <c r="F5" s="484"/>
      <c r="G5" s="484"/>
      <c r="H5" s="484"/>
      <c r="I5" s="484"/>
      <c r="J5" s="484"/>
      <c r="K5" s="334"/>
    </row>
    <row r="6" spans="1:11" ht="21" customHeight="1">
      <c r="A6" s="107"/>
      <c r="B6" s="107"/>
      <c r="C6" s="484"/>
      <c r="D6" s="484"/>
      <c r="E6" s="484"/>
      <c r="F6" s="484"/>
      <c r="G6" s="484"/>
      <c r="H6" s="484"/>
      <c r="I6" s="484"/>
      <c r="J6" s="484"/>
      <c r="K6" s="334"/>
    </row>
    <row r="7" spans="1:11" ht="8.25" customHeight="1">
      <c r="A7" s="107"/>
      <c r="B7" s="107"/>
      <c r="C7" s="335"/>
      <c r="D7" s="335"/>
      <c r="E7" s="335"/>
      <c r="F7" s="335"/>
      <c r="G7" s="335"/>
      <c r="H7" s="335"/>
      <c r="I7" s="335"/>
      <c r="J7" s="335"/>
      <c r="K7" s="336"/>
    </row>
    <row r="8" spans="1:10" ht="18.75" customHeight="1">
      <c r="A8" s="107"/>
      <c r="B8" s="333" t="s">
        <v>71</v>
      </c>
      <c r="C8" s="107" t="s">
        <v>72</v>
      </c>
      <c r="D8" s="107"/>
      <c r="E8" s="107"/>
      <c r="F8" s="107"/>
      <c r="G8" s="107"/>
      <c r="H8" s="107"/>
      <c r="I8" s="107"/>
      <c r="J8" s="107"/>
    </row>
    <row r="9" spans="1:10" ht="15">
      <c r="A9" s="107"/>
      <c r="B9" s="107"/>
      <c r="C9" s="107" t="s">
        <v>73</v>
      </c>
      <c r="D9" s="107"/>
      <c r="E9" s="107"/>
      <c r="F9" s="107"/>
      <c r="G9" s="107"/>
      <c r="H9" s="107"/>
      <c r="I9" s="107"/>
      <c r="J9" s="107"/>
    </row>
    <row r="10" spans="1:10" ht="15">
      <c r="A10" s="107"/>
      <c r="B10" s="107"/>
      <c r="C10" s="107" t="s">
        <v>74</v>
      </c>
      <c r="D10" s="107"/>
      <c r="E10" s="107"/>
      <c r="F10" s="107"/>
      <c r="G10" s="107"/>
      <c r="H10" s="107"/>
      <c r="I10" s="107"/>
      <c r="J10" s="107"/>
    </row>
    <row r="11" spans="1:10" ht="15">
      <c r="A11" s="107"/>
      <c r="B11" s="107"/>
      <c r="C11" s="107" t="s">
        <v>75</v>
      </c>
      <c r="D11" s="107"/>
      <c r="E11" s="107"/>
      <c r="F11" s="107"/>
      <c r="G11" s="107"/>
      <c r="H11" s="107"/>
      <c r="I11" s="107"/>
      <c r="J11" s="107"/>
    </row>
    <row r="12" spans="1:10" ht="10.5" customHeight="1">
      <c r="A12" s="107"/>
      <c r="B12" s="107"/>
      <c r="C12" s="486" t="s">
        <v>453</v>
      </c>
      <c r="D12" s="486"/>
      <c r="E12" s="486"/>
      <c r="F12" s="486"/>
      <c r="G12" s="486"/>
      <c r="H12" s="486"/>
      <c r="I12" s="486"/>
      <c r="J12" s="486"/>
    </row>
    <row r="13" spans="1:10" ht="12.75" customHeight="1">
      <c r="A13" s="483" t="s">
        <v>435</v>
      </c>
      <c r="B13" s="483"/>
      <c r="C13" s="107"/>
      <c r="D13" s="107"/>
      <c r="E13" s="107"/>
      <c r="F13" s="107"/>
      <c r="G13" s="107"/>
      <c r="H13" s="107"/>
      <c r="I13" s="107"/>
      <c r="J13" s="107"/>
    </row>
    <row r="14" spans="1:10" ht="18" customHeight="1">
      <c r="A14" s="107"/>
      <c r="B14" s="107"/>
      <c r="C14" s="484" t="str">
        <f>CONCATENATE("                           In accordance with G.O. 1st to 3rd cited above ",DATA!E2," ,",DATA!V120," , ",DATA!T148,", ",DATA!D7,"  on completion of ",DATA!Q189," years of service is hereby appointed into ",DATA!O189,"  in Automatic Advancement Scheme w.e.f.   ",DATA!AJ115," in the time scale of Pay  ",DATA!P189,"  in  ",DATA!V121," cadre Consequent on Completion of  ",DATA!Q189," years of Service. ",DATA!T131," was appointed into ",DATA!O189," post  w.e.f.  ",DATA!AJ115,"  and ",DATA!T132,"",M16)</f>
        <v>                           In accordance with G.O. 1st to 3rd cited above K.Chandra sekhar ,S.G.T. , ZPH School, Jonnagiri  on completion of 12 years of service is hereby appointed into SPP-IA  in Automatic Advancement Scheme w.e.f.   21/01/2014 in the time scale of Pay  14860-39540  in  S.G.T/LP cadre Consequent on Completion of  12 years of Service.  He was appointed into SPP-IA post  w.e.f.  21/01/2014  and  his  Pay is fixed at Rs. 14860/-  in the time scale of  14860-39540.</v>
      </c>
      <c r="D14" s="484"/>
      <c r="E14" s="484"/>
      <c r="F14" s="484"/>
      <c r="G14" s="484"/>
      <c r="H14" s="484"/>
      <c r="I14" s="484"/>
      <c r="J14" s="484"/>
    </row>
    <row r="15" spans="1:10" ht="18" customHeight="1">
      <c r="A15" s="107"/>
      <c r="B15" s="107"/>
      <c r="C15" s="484"/>
      <c r="D15" s="484"/>
      <c r="E15" s="484"/>
      <c r="F15" s="484"/>
      <c r="G15" s="484"/>
      <c r="H15" s="484"/>
      <c r="I15" s="484"/>
      <c r="J15" s="484"/>
    </row>
    <row r="16" spans="1:13" ht="18" customHeight="1">
      <c r="A16" s="107"/>
      <c r="B16" s="107"/>
      <c r="C16" s="484"/>
      <c r="D16" s="484"/>
      <c r="E16" s="484"/>
      <c r="F16" s="484"/>
      <c r="G16" s="484"/>
      <c r="H16" s="484"/>
      <c r="I16" s="484"/>
      <c r="J16" s="484"/>
      <c r="M16" s="11" t="str">
        <f>CONCATENATE(" Pay is fixed at Rs. ",DATA!AC112,"/-","  in the time scale of  ",DATA!P189,".")</f>
        <v> Pay is fixed at Rs. 14860/-  in the time scale of  14860-39540.</v>
      </c>
    </row>
    <row r="17" spans="1:10" ht="18" customHeight="1">
      <c r="A17" s="107"/>
      <c r="B17" s="107"/>
      <c r="C17" s="484"/>
      <c r="D17" s="484"/>
      <c r="E17" s="484"/>
      <c r="F17" s="484"/>
      <c r="G17" s="484"/>
      <c r="H17" s="484"/>
      <c r="I17" s="484"/>
      <c r="J17" s="484"/>
    </row>
    <row r="18" spans="1:10" ht="18" customHeight="1">
      <c r="A18" s="107"/>
      <c r="B18" s="107"/>
      <c r="C18" s="484"/>
      <c r="D18" s="484"/>
      <c r="E18" s="484"/>
      <c r="F18" s="484"/>
      <c r="G18" s="484"/>
      <c r="H18" s="484"/>
      <c r="I18" s="484"/>
      <c r="J18" s="484"/>
    </row>
    <row r="19" spans="1:10" ht="15">
      <c r="A19" s="107"/>
      <c r="B19" s="107"/>
      <c r="C19" s="107"/>
      <c r="D19" s="107"/>
      <c r="E19" s="107"/>
      <c r="F19" s="107"/>
      <c r="G19" s="107"/>
      <c r="H19" s="107"/>
      <c r="I19" s="107"/>
      <c r="J19" s="107"/>
    </row>
    <row r="20" spans="1:10" s="340" customFormat="1" ht="18" customHeight="1">
      <c r="A20" s="337"/>
      <c r="B20" s="338">
        <v>1</v>
      </c>
      <c r="C20" s="337" t="s">
        <v>405</v>
      </c>
      <c r="D20" s="337"/>
      <c r="E20" s="337"/>
      <c r="F20" s="337"/>
      <c r="G20" s="337"/>
      <c r="H20" s="339" t="s">
        <v>76</v>
      </c>
      <c r="I20" s="337" t="str">
        <f>CONCATENATE(DATA!T130,DATA!E2)</f>
        <v>Sri.K.Chandra sekhar</v>
      </c>
      <c r="J20" s="337"/>
    </row>
    <row r="21" spans="1:10" s="340" customFormat="1" ht="18" customHeight="1">
      <c r="A21" s="337"/>
      <c r="B21" s="338">
        <v>2</v>
      </c>
      <c r="C21" s="337" t="s">
        <v>0</v>
      </c>
      <c r="D21" s="337"/>
      <c r="E21" s="337"/>
      <c r="F21" s="337"/>
      <c r="G21" s="337"/>
      <c r="H21" s="339" t="s">
        <v>76</v>
      </c>
      <c r="I21" s="337" t="str">
        <f>DATA!V120</f>
        <v>S.G.T.</v>
      </c>
      <c r="J21" s="337"/>
    </row>
    <row r="22" spans="1:10" s="340" customFormat="1" ht="18" customHeight="1">
      <c r="A22" s="337"/>
      <c r="B22" s="338">
        <v>3</v>
      </c>
      <c r="C22" s="337" t="s">
        <v>438</v>
      </c>
      <c r="D22" s="337"/>
      <c r="E22" s="337"/>
      <c r="F22" s="337"/>
      <c r="G22" s="337"/>
      <c r="H22" s="339" t="s">
        <v>76</v>
      </c>
      <c r="I22" s="337" t="str">
        <f>CONCATENATE(DATA!O150,".",",",DATA!P150,".")</f>
        <v>B.Sc.,B.Ed.</v>
      </c>
      <c r="J22" s="337"/>
    </row>
    <row r="23" spans="1:10" s="340" customFormat="1" ht="18" customHeight="1">
      <c r="A23" s="337"/>
      <c r="B23" s="338">
        <v>4</v>
      </c>
      <c r="C23" s="337" t="s">
        <v>436</v>
      </c>
      <c r="D23" s="337"/>
      <c r="E23" s="337"/>
      <c r="F23" s="337"/>
      <c r="G23" s="337"/>
      <c r="H23" s="339" t="s">
        <v>76</v>
      </c>
      <c r="I23" s="337" t="str">
        <f>DATA!AK107</f>
        <v>21/01/2002</v>
      </c>
      <c r="J23" s="337"/>
    </row>
    <row r="24" spans="1:10" s="340" customFormat="1" ht="18" customHeight="1">
      <c r="A24" s="337"/>
      <c r="B24" s="338">
        <v>5</v>
      </c>
      <c r="C24" s="337" t="str">
        <f>CONCATENATE("No. of Days  E.O.L Availed during ",DATA!Q189," years service")</f>
        <v>No. of Days  E.O.L Availed during 12 years service</v>
      </c>
      <c r="D24" s="337"/>
      <c r="E24" s="337"/>
      <c r="F24" s="337"/>
      <c r="G24" s="337"/>
      <c r="H24" s="339" t="s">
        <v>76</v>
      </c>
      <c r="I24" s="337" t="str">
        <f>CONCATENATE(DATA!Z104," days")</f>
        <v>0 days</v>
      </c>
      <c r="J24" s="337"/>
    </row>
    <row r="25" spans="1:10" s="340" customFormat="1" ht="18" customHeight="1">
      <c r="A25" s="337"/>
      <c r="B25" s="338">
        <v>6</v>
      </c>
      <c r="C25" s="337" t="s">
        <v>439</v>
      </c>
      <c r="D25" s="337"/>
      <c r="E25" s="337"/>
      <c r="F25" s="337"/>
      <c r="G25" s="337"/>
      <c r="H25" s="339" t="s">
        <v>76</v>
      </c>
      <c r="I25" s="337" t="str">
        <f>DATA!P148</f>
        <v>Yes</v>
      </c>
      <c r="J25" s="337"/>
    </row>
    <row r="26" spans="1:10" s="340" customFormat="1" ht="18" customHeight="1">
      <c r="A26" s="337"/>
      <c r="B26" s="338">
        <v>7</v>
      </c>
      <c r="C26" s="337" t="str">
        <f>CONCATENATE("Date of Completion of  ",DATA!Q189," years service in the Cadre")</f>
        <v>Date of Completion of  12 years service in the Cadre</v>
      </c>
      <c r="D26" s="337"/>
      <c r="E26" s="337"/>
      <c r="F26" s="337"/>
      <c r="G26" s="337"/>
      <c r="H26" s="339" t="s">
        <v>76</v>
      </c>
      <c r="I26" s="337" t="str">
        <f>DATA!AN110</f>
        <v>20/01/2014</v>
      </c>
      <c r="J26" s="337"/>
    </row>
    <row r="27" spans="1:10" s="340" customFormat="1" ht="18" customHeight="1">
      <c r="A27" s="337"/>
      <c r="B27" s="338">
        <v>8</v>
      </c>
      <c r="C27" s="337" t="str">
        <f>CONCATENATE("Date of Appointment in the  ",DATA!O189," Post")</f>
        <v>Date of Appointment in the  SPP-IA Post</v>
      </c>
      <c r="D27" s="337"/>
      <c r="E27" s="337"/>
      <c r="F27" s="337"/>
      <c r="G27" s="337"/>
      <c r="H27" s="339" t="s">
        <v>76</v>
      </c>
      <c r="I27" s="337" t="str">
        <f>DATA!AJ115</f>
        <v>21/01/2014</v>
      </c>
      <c r="J27" s="337"/>
    </row>
    <row r="28" spans="1:10" ht="30" customHeight="1">
      <c r="A28" s="107"/>
      <c r="B28" s="341">
        <v>9</v>
      </c>
      <c r="C28" s="484" t="str">
        <f>CONCATENATE(" Pay as on date of Completion of  ",DATA!Q189," years service &amp; Scale of Pay")</f>
        <v> Pay as on date of Completion of  12 years service &amp; Scale of Pay</v>
      </c>
      <c r="D28" s="484"/>
      <c r="E28" s="484"/>
      <c r="F28" s="484"/>
      <c r="G28" s="107"/>
      <c r="H28" s="339" t="s">
        <v>76</v>
      </c>
      <c r="I28" s="337" t="str">
        <f>CONCATENATE(DATA!AB110," / ",DATA!R189)</f>
        <v>14050 / 11530-33200</v>
      </c>
      <c r="J28" s="107"/>
    </row>
    <row r="29" spans="1:10" ht="30" customHeight="1">
      <c r="A29" s="107"/>
      <c r="B29" s="341">
        <v>10</v>
      </c>
      <c r="C29" s="484" t="str">
        <f>CONCATENATE("Pay fixed in the  ",DATA!Q189," years Scale of Pay as par FR 22a(i) and Scale of Pay ")</f>
        <v>Pay fixed in the  12 years Scale of Pay as par FR 22a(i) and Scale of Pay </v>
      </c>
      <c r="D29" s="484"/>
      <c r="E29" s="484"/>
      <c r="F29" s="484"/>
      <c r="G29" s="107"/>
      <c r="H29" s="339" t="s">
        <v>76</v>
      </c>
      <c r="I29" s="337" t="str">
        <f>CONCATENATE(DATA!AC112," / ",DATA!P189)</f>
        <v>14860 / 14860-39540</v>
      </c>
      <c r="J29" s="107"/>
    </row>
    <row r="30" spans="1:10" ht="18" customHeight="1">
      <c r="A30" s="107"/>
      <c r="B30" s="341">
        <v>11</v>
      </c>
      <c r="C30" s="136" t="s">
        <v>437</v>
      </c>
      <c r="D30" s="107"/>
      <c r="E30" s="107"/>
      <c r="F30" s="107"/>
      <c r="G30" s="107"/>
      <c r="H30" s="339" t="s">
        <v>76</v>
      </c>
      <c r="I30" s="383" t="str">
        <f>DATA!T136</f>
        <v>1/9/2015</v>
      </c>
      <c r="J30" s="107"/>
    </row>
    <row r="31" spans="1:10" ht="15">
      <c r="A31" s="107"/>
      <c r="B31" s="107"/>
      <c r="C31" s="107"/>
      <c r="D31" s="107"/>
      <c r="E31" s="107"/>
      <c r="F31" s="107"/>
      <c r="G31" s="107"/>
      <c r="H31" s="107"/>
      <c r="I31" s="107"/>
      <c r="J31" s="107"/>
    </row>
    <row r="32" spans="1:10" ht="10.5" customHeight="1">
      <c r="A32" s="107"/>
      <c r="B32" s="107"/>
      <c r="C32" s="107"/>
      <c r="D32" s="107"/>
      <c r="E32" s="107"/>
      <c r="F32" s="107"/>
      <c r="G32" s="107"/>
      <c r="H32" s="107"/>
      <c r="I32" s="107"/>
      <c r="J32" s="107"/>
    </row>
    <row r="33" spans="1:10" ht="15">
      <c r="A33" s="107"/>
      <c r="B33" s="107"/>
      <c r="C33" s="482" t="str">
        <f>CONCATENATE(" Certified that necessary entries were made in the Service Register of the individual. The individual is informed that if any excess amount paid due to erroneous sanction noticed during the course of audit such amount shall be recovered in lump sum from  ",DATA!T132," pay bills without any prior notice.")</f>
        <v> Certified that necessary entries were made in the Service Register of the individual. The individual is informed that if any excess amount paid due to erroneous sanction noticed during the course of audit such amount shall be recovered in lump sum from   his  pay bills without any prior notice.</v>
      </c>
      <c r="D33" s="482"/>
      <c r="E33" s="482"/>
      <c r="F33" s="482"/>
      <c r="G33" s="482"/>
      <c r="H33" s="482"/>
      <c r="I33" s="482"/>
      <c r="J33" s="482"/>
    </row>
    <row r="34" spans="1:11" ht="15" customHeight="1">
      <c r="A34" s="107"/>
      <c r="B34" s="107"/>
      <c r="C34" s="482"/>
      <c r="D34" s="482"/>
      <c r="E34" s="482"/>
      <c r="F34" s="482"/>
      <c r="G34" s="482"/>
      <c r="H34" s="482"/>
      <c r="I34" s="482"/>
      <c r="J34" s="482"/>
      <c r="K34" s="239"/>
    </row>
    <row r="35" spans="1:11" ht="15">
      <c r="A35" s="107"/>
      <c r="B35" s="107"/>
      <c r="C35" s="482"/>
      <c r="D35" s="482"/>
      <c r="E35" s="482"/>
      <c r="F35" s="482"/>
      <c r="G35" s="482"/>
      <c r="H35" s="482"/>
      <c r="I35" s="482"/>
      <c r="J35" s="482"/>
      <c r="K35" s="239"/>
    </row>
    <row r="36" spans="1:11" ht="15">
      <c r="A36" s="107"/>
      <c r="B36" s="107"/>
      <c r="C36" s="482"/>
      <c r="D36" s="482"/>
      <c r="E36" s="482"/>
      <c r="F36" s="482"/>
      <c r="G36" s="482"/>
      <c r="H36" s="482"/>
      <c r="I36" s="482"/>
      <c r="J36" s="482"/>
      <c r="K36" s="239"/>
    </row>
    <row r="37" spans="1:11" ht="15">
      <c r="A37" s="107"/>
      <c r="B37" s="107"/>
      <c r="C37" s="228"/>
      <c r="D37" s="228"/>
      <c r="E37" s="228"/>
      <c r="F37" s="228"/>
      <c r="G37" s="228"/>
      <c r="H37" s="228"/>
      <c r="I37" s="228"/>
      <c r="J37" s="228"/>
      <c r="K37" s="228"/>
    </row>
    <row r="38" spans="1:11" ht="15">
      <c r="A38" s="107"/>
      <c r="B38" s="107"/>
      <c r="C38" s="228"/>
      <c r="D38" s="228"/>
      <c r="E38" s="228"/>
      <c r="F38" s="228"/>
      <c r="G38" s="228"/>
      <c r="H38" s="228"/>
      <c r="I38" s="228"/>
      <c r="J38" s="228"/>
      <c r="K38" s="228"/>
    </row>
    <row r="39" spans="1:10" ht="15">
      <c r="A39" s="107"/>
      <c r="B39" s="107"/>
      <c r="C39" s="107"/>
      <c r="D39" s="107"/>
      <c r="E39" s="107"/>
      <c r="F39" s="107"/>
      <c r="G39" s="481" t="str">
        <f>DATA!O144</f>
        <v>Mandal Educational Officer</v>
      </c>
      <c r="H39" s="481"/>
      <c r="I39" s="481"/>
      <c r="J39" s="107"/>
    </row>
    <row r="40" spans="1:10" ht="15">
      <c r="A40" s="107"/>
      <c r="B40" s="107"/>
      <c r="C40" s="107"/>
      <c r="D40" s="107"/>
      <c r="E40" s="107"/>
      <c r="F40" s="481" t="str">
        <f>CONCATENATE(DATA!P144," ,",DATA!M17,".")</f>
        <v>Mandal Parishad ,Tuggali.</v>
      </c>
      <c r="G40" s="481"/>
      <c r="H40" s="481"/>
      <c r="I40" s="481"/>
      <c r="J40" s="481"/>
    </row>
    <row r="41" spans="1:10" ht="15">
      <c r="A41" s="107" t="s">
        <v>440</v>
      </c>
      <c r="B41" s="107"/>
      <c r="C41" s="107"/>
      <c r="D41" s="107"/>
      <c r="E41" s="107"/>
      <c r="F41" s="107"/>
      <c r="G41" s="107"/>
      <c r="H41" s="107"/>
      <c r="I41" s="107"/>
      <c r="J41" s="107"/>
    </row>
    <row r="42" spans="1:10" ht="15">
      <c r="A42" s="107" t="s">
        <v>458</v>
      </c>
      <c r="B42" s="107"/>
      <c r="C42" s="107"/>
      <c r="D42" s="107"/>
      <c r="E42" s="107"/>
      <c r="F42" s="107"/>
      <c r="G42" s="107"/>
      <c r="H42" s="107"/>
      <c r="I42" s="107"/>
      <c r="J42" s="107"/>
    </row>
    <row r="43" spans="1:10" ht="15">
      <c r="A43" s="107" t="str">
        <f>CONCATENATE(2," ."&amp;DATA!I15)</f>
        <v>2 .STO, Pathikonda</v>
      </c>
      <c r="B43" s="107"/>
      <c r="C43" s="107"/>
      <c r="D43" s="107"/>
      <c r="E43" s="107"/>
      <c r="F43" s="107"/>
      <c r="G43" s="107"/>
      <c r="H43" s="107"/>
      <c r="I43" s="107"/>
      <c r="J43" s="107"/>
    </row>
    <row r="44" spans="1:10" ht="15">
      <c r="A44" s="107"/>
      <c r="B44" s="107"/>
      <c r="C44" s="107"/>
      <c r="D44" s="107"/>
      <c r="E44" s="107"/>
      <c r="F44" s="107"/>
      <c r="G44" s="107"/>
      <c r="H44" s="107"/>
      <c r="I44" s="107"/>
      <c r="J44" s="107"/>
    </row>
    <row r="45" spans="1:10" ht="15">
      <c r="A45" s="107"/>
      <c r="B45" s="107"/>
      <c r="C45" s="107"/>
      <c r="D45" s="107"/>
      <c r="E45" s="107"/>
      <c r="F45" s="107"/>
      <c r="G45" s="107"/>
      <c r="H45" s="107"/>
      <c r="I45" s="107"/>
      <c r="J45" s="107"/>
    </row>
    <row r="46" spans="1:10" ht="15">
      <c r="A46" s="107"/>
      <c r="B46" s="107"/>
      <c r="C46" s="107"/>
      <c r="D46" s="107"/>
      <c r="E46" s="107"/>
      <c r="F46" s="107"/>
      <c r="G46" s="107"/>
      <c r="H46" s="107"/>
      <c r="I46" s="107"/>
      <c r="J46" s="107"/>
    </row>
    <row r="47" spans="1:10" ht="15">
      <c r="A47" s="107"/>
      <c r="B47" s="107"/>
      <c r="C47" s="107"/>
      <c r="D47" s="107"/>
      <c r="E47" s="107"/>
      <c r="F47" s="107"/>
      <c r="G47" s="107"/>
      <c r="H47" s="107"/>
      <c r="I47" s="107"/>
      <c r="J47" s="107"/>
    </row>
    <row r="48" spans="1:10" ht="15">
      <c r="A48" s="107"/>
      <c r="B48" s="107"/>
      <c r="C48" s="107"/>
      <c r="D48" s="107"/>
      <c r="E48" s="107"/>
      <c r="F48" s="107"/>
      <c r="G48" s="107"/>
      <c r="H48" s="107"/>
      <c r="I48" s="107"/>
      <c r="J48" s="107"/>
    </row>
  </sheetData>
  <sheetProtection password="E69A" sheet="1" objects="1" scenarios="1" selectLockedCells="1" selectUnlockedCells="1"/>
  <mergeCells count="11">
    <mergeCell ref="A1:J1"/>
    <mergeCell ref="C14:J18"/>
    <mergeCell ref="C28:F28"/>
    <mergeCell ref="C12:J12"/>
    <mergeCell ref="A2:J2"/>
    <mergeCell ref="F40:J40"/>
    <mergeCell ref="C33:J36"/>
    <mergeCell ref="G39:I39"/>
    <mergeCell ref="A13:B13"/>
    <mergeCell ref="C29:F29"/>
    <mergeCell ref="C5:J6"/>
  </mergeCells>
  <printOptions/>
  <pageMargins left="0.393700787401575" right="0.35" top="0.65" bottom="0.354330708661417" header="0.4" footer="0.31496062992126"/>
  <pageSetup horizontalDpi="300" verticalDpi="300" orientation="portrait" paperSize="9" r:id="rId1"/>
  <ignoredErrors>
    <ignoredError sqref="I30" unlockedFormula="1"/>
  </ignoredErrors>
</worksheet>
</file>

<file path=xl/worksheets/sheet3.xml><?xml version="1.0" encoding="utf-8"?>
<worksheet xmlns="http://schemas.openxmlformats.org/spreadsheetml/2006/main" xmlns:r="http://schemas.openxmlformats.org/officeDocument/2006/relationships">
  <sheetPr>
    <tabColor rgb="FF92D050"/>
  </sheetPr>
  <dimension ref="A1:AC21"/>
  <sheetViews>
    <sheetView showGridLines="0" showRowColHeaders="0" view="pageBreakPreview" zoomScaleSheetLayoutView="100" zoomScalePageLayoutView="0" workbookViewId="0" topLeftCell="A1">
      <selection activeCell="Z3" sqref="Z3"/>
    </sheetView>
  </sheetViews>
  <sheetFormatPr defaultColWidth="9.140625" defaultRowHeight="15"/>
  <cols>
    <col min="1" max="1" width="5.28125" style="5" customWidth="1"/>
    <col min="2" max="2" width="12.8515625" style="5" customWidth="1"/>
    <col min="3" max="3" width="6.421875" style="5" customWidth="1"/>
    <col min="4" max="6" width="6.28125" style="5" customWidth="1"/>
    <col min="7" max="7" width="7.140625" style="5" customWidth="1"/>
    <col min="8" max="8" width="5.00390625" style="5" customWidth="1"/>
    <col min="9" max="9" width="6.7109375" style="5" hidden="1" customWidth="1"/>
    <col min="10" max="13" width="6.28125" style="5" customWidth="1"/>
    <col min="14" max="14" width="7.140625" style="5" customWidth="1"/>
    <col min="15" max="15" width="5.00390625" style="5" customWidth="1"/>
    <col min="16" max="16" width="6.7109375" style="5" hidden="1" customWidth="1"/>
    <col min="17" max="20" width="5.7109375" style="5" customWidth="1"/>
    <col min="21" max="21" width="6.421875" style="5" customWidth="1"/>
    <col min="22" max="22" width="6.7109375" style="5" customWidth="1"/>
    <col min="23" max="23" width="5.00390625" style="5" customWidth="1"/>
    <col min="24" max="24" width="5.7109375" style="5" customWidth="1"/>
    <col min="25" max="25" width="6.28125" style="5" customWidth="1"/>
    <col min="26" max="16384" width="9.140625" style="5" customWidth="1"/>
  </cols>
  <sheetData>
    <row r="1" spans="1:28" ht="15" customHeight="1">
      <c r="A1" s="501" t="str">
        <f>CONCATENATE(" AAS  ","( ",DATA!Q189," years ",")"," Arrears bill of  ",DATA!T130," ",DATA!E2,," ,",DATA!V120," ,",DATA!T148," ,",DATA!D7,", ",DATA!D8," ( Mandal )",".")</f>
        <v> AAS  ( 12 years ) Arrears bill of  Sri. K.Chandra sekhar ,S.G.T. ,ZPH School ,Jonnagiri, Tuggali ( Mandal ).</v>
      </c>
      <c r="B1" s="501"/>
      <c r="C1" s="501"/>
      <c r="D1" s="501"/>
      <c r="E1" s="501"/>
      <c r="F1" s="501"/>
      <c r="G1" s="501"/>
      <c r="H1" s="501"/>
      <c r="I1" s="501"/>
      <c r="J1" s="501"/>
      <c r="K1" s="501"/>
      <c r="L1" s="501"/>
      <c r="M1" s="501"/>
      <c r="N1" s="501"/>
      <c r="O1" s="501"/>
      <c r="P1" s="501"/>
      <c r="Q1" s="501"/>
      <c r="R1" s="501"/>
      <c r="S1" s="501"/>
      <c r="T1" s="501"/>
      <c r="U1" s="501"/>
      <c r="V1" s="501"/>
      <c r="W1" s="501"/>
      <c r="X1" s="501"/>
      <c r="Y1" s="501"/>
      <c r="Z1" s="737"/>
      <c r="AA1" s="21"/>
      <c r="AB1" s="21"/>
    </row>
    <row r="2" spans="1:28" ht="21.75" customHeight="1">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737"/>
      <c r="AA2" s="21"/>
      <c r="AB2" s="21"/>
    </row>
    <row r="3" spans="1:28" ht="20.25" customHeight="1">
      <c r="A3" s="503" t="s">
        <v>260</v>
      </c>
      <c r="B3" s="491" t="s">
        <v>261</v>
      </c>
      <c r="C3" s="492" t="s">
        <v>263</v>
      </c>
      <c r="D3" s="493"/>
      <c r="E3" s="493"/>
      <c r="F3" s="493"/>
      <c r="G3" s="494"/>
      <c r="H3" s="490" t="s">
        <v>265</v>
      </c>
      <c r="I3" s="382"/>
      <c r="J3" s="492" t="s">
        <v>404</v>
      </c>
      <c r="K3" s="493"/>
      <c r="L3" s="493"/>
      <c r="M3" s="493"/>
      <c r="N3" s="494"/>
      <c r="O3" s="495" t="s">
        <v>266</v>
      </c>
      <c r="P3" s="378"/>
      <c r="Q3" s="497" t="s">
        <v>267</v>
      </c>
      <c r="R3" s="497"/>
      <c r="S3" s="497"/>
      <c r="T3" s="497"/>
      <c r="U3" s="497"/>
      <c r="V3" s="504">
        <f>IF(DATA!V128=1,""," CPS  Deduction ")</f>
      </c>
      <c r="W3" s="495" t="s">
        <v>268</v>
      </c>
      <c r="X3" s="488" t="s">
        <v>520</v>
      </c>
      <c r="Y3" s="508" t="s">
        <v>269</v>
      </c>
      <c r="Z3" s="738"/>
      <c r="AA3" s="22"/>
      <c r="AB3" s="22"/>
    </row>
    <row r="4" spans="1:26" ht="56.25" customHeight="1">
      <c r="A4" s="503"/>
      <c r="B4" s="491"/>
      <c r="C4" s="248" t="s">
        <v>264</v>
      </c>
      <c r="D4" s="249" t="s">
        <v>259</v>
      </c>
      <c r="E4" s="249" t="s">
        <v>262</v>
      </c>
      <c r="F4" s="376" t="s">
        <v>528</v>
      </c>
      <c r="G4" s="249" t="s">
        <v>78</v>
      </c>
      <c r="H4" s="490"/>
      <c r="I4" s="380"/>
      <c r="J4" s="248" t="s">
        <v>264</v>
      </c>
      <c r="K4" s="324" t="s">
        <v>259</v>
      </c>
      <c r="L4" s="249" t="s">
        <v>262</v>
      </c>
      <c r="M4" s="376" t="s">
        <v>529</v>
      </c>
      <c r="N4" s="249" t="s">
        <v>78</v>
      </c>
      <c r="O4" s="496"/>
      <c r="P4" s="379"/>
      <c r="Q4" s="248" t="s">
        <v>264</v>
      </c>
      <c r="R4" s="249" t="s">
        <v>259</v>
      </c>
      <c r="S4" s="249" t="s">
        <v>262</v>
      </c>
      <c r="T4" s="376" t="s">
        <v>529</v>
      </c>
      <c r="U4" s="249" t="s">
        <v>78</v>
      </c>
      <c r="V4" s="505"/>
      <c r="W4" s="496"/>
      <c r="X4" s="489"/>
      <c r="Y4" s="508"/>
      <c r="Z4" s="375"/>
    </row>
    <row r="5" spans="1:29" ht="30" customHeight="1">
      <c r="A5" s="374">
        <v>1</v>
      </c>
      <c r="B5" s="733" t="str">
        <f>DATA!AO114</f>
        <v>21 - 31/01/2014</v>
      </c>
      <c r="C5" s="374">
        <f>DATA!AQ114</f>
        <v>5273</v>
      </c>
      <c r="D5" s="374">
        <f>DATA!AR114</f>
        <v>3340</v>
      </c>
      <c r="E5" s="374">
        <f>DATA!AS114</f>
        <v>633</v>
      </c>
      <c r="F5" s="374">
        <f>DATA!BK114</f>
        <v>1424</v>
      </c>
      <c r="G5" s="374">
        <f>SUM(C5:F5)</f>
        <v>10670</v>
      </c>
      <c r="H5" s="374">
        <f>IF(DATA!AU114=0,"",DATA!AU114)</f>
      </c>
      <c r="I5" s="374">
        <f aca="true" t="shared" si="0" ref="I5:I10">IF(H5="",0,H5)</f>
        <v>0</v>
      </c>
      <c r="J5" s="374">
        <f>DATA!AV114</f>
        <v>4985</v>
      </c>
      <c r="K5" s="374">
        <f>DATA!AW114</f>
        <v>3158</v>
      </c>
      <c r="L5" s="374">
        <f>DATA!AX114</f>
        <v>598</v>
      </c>
      <c r="M5" s="374">
        <f>DATA!BL114</f>
        <v>1346</v>
      </c>
      <c r="N5" s="374">
        <f>SUM(J5:M5)</f>
        <v>10087</v>
      </c>
      <c r="O5" s="374">
        <f>IF(DATA!AZ114=0,"",DATA!AZ114)</f>
      </c>
      <c r="P5" s="374">
        <f aca="true" t="shared" si="1" ref="P5:P10">IF(O5="",0,O5)</f>
        <v>0</v>
      </c>
      <c r="Q5" s="374">
        <f>DATA!BA114</f>
        <v>288</v>
      </c>
      <c r="R5" s="374">
        <f>DATA!BB114</f>
        <v>182</v>
      </c>
      <c r="S5" s="374">
        <f>DATA!BC114</f>
        <v>35</v>
      </c>
      <c r="T5" s="374">
        <f aca="true" t="shared" si="2" ref="T5:T10">IF(F5="","",(F5-M5))</f>
        <v>78</v>
      </c>
      <c r="U5" s="374">
        <f>SUM(Q5:T5)</f>
        <v>583</v>
      </c>
      <c r="V5" s="374">
        <f>IF(DATA!BI114=0,"",DATA!BI114)</f>
      </c>
      <c r="W5" s="374">
        <f aca="true" t="shared" si="3" ref="W5:W10">IF(B5="","",I5-P5)</f>
        <v>0</v>
      </c>
      <c r="X5" s="374">
        <f>DATA!BI114+W5</f>
        <v>0</v>
      </c>
      <c r="Y5" s="374">
        <f>U5-X5</f>
        <v>583</v>
      </c>
      <c r="AC5" s="23"/>
    </row>
    <row r="6" spans="1:25" ht="30" customHeight="1">
      <c r="A6" s="374">
        <v>2</v>
      </c>
      <c r="B6" s="734">
        <f>DATA!AO115</f>
        <v>41671</v>
      </c>
      <c r="C6" s="374">
        <f>DATA!AQ115</f>
        <v>14860</v>
      </c>
      <c r="D6" s="374">
        <f>DATA!AR115</f>
        <v>9413</v>
      </c>
      <c r="E6" s="374">
        <f>DATA!AS115</f>
        <v>1783</v>
      </c>
      <c r="F6" s="374">
        <f>DATA!BK115</f>
        <v>4012</v>
      </c>
      <c r="G6" s="374">
        <f>IF(B6="","",SUM(C6:F6))</f>
        <v>30068</v>
      </c>
      <c r="H6" s="374">
        <f>IF(DATA!AU115=0,"",DATA!AU115)</f>
        <v>200</v>
      </c>
      <c r="I6" s="374">
        <f t="shared" si="0"/>
        <v>200</v>
      </c>
      <c r="J6" s="374">
        <f>DATA!AV115</f>
        <v>14050</v>
      </c>
      <c r="K6" s="374">
        <f>DATA!AW115</f>
        <v>8900</v>
      </c>
      <c r="L6" s="374">
        <f>DATA!AX115</f>
        <v>1686</v>
      </c>
      <c r="M6" s="374">
        <f>DATA!BL115</f>
        <v>3794</v>
      </c>
      <c r="N6" s="374">
        <f>IF(B6="","",SUM(J6:M6))</f>
        <v>28430</v>
      </c>
      <c r="O6" s="374">
        <f>IF(DATA!AZ115=0,"",DATA!AZ115)</f>
        <v>200</v>
      </c>
      <c r="P6" s="374">
        <f t="shared" si="1"/>
        <v>200</v>
      </c>
      <c r="Q6" s="374">
        <f>DATA!BA115</f>
        <v>810</v>
      </c>
      <c r="R6" s="374">
        <f>DATA!BB115</f>
        <v>513</v>
      </c>
      <c r="S6" s="374">
        <f>DATA!BC115</f>
        <v>97</v>
      </c>
      <c r="T6" s="374">
        <f t="shared" si="2"/>
        <v>218</v>
      </c>
      <c r="U6" s="374">
        <f>IF(B6="","",SUM(Q6:T6))</f>
        <v>1638</v>
      </c>
      <c r="V6" s="374">
        <f>IF(DATA!BI115=0,"",DATA!BI115)</f>
      </c>
      <c r="W6" s="374">
        <f t="shared" si="3"/>
        <v>0</v>
      </c>
      <c r="X6" s="374">
        <f>IF(B6="","",DATA!BI115+W6)</f>
        <v>0</v>
      </c>
      <c r="Y6" s="374">
        <f>IF(B6="","",U6-X6)</f>
        <v>1638</v>
      </c>
    </row>
    <row r="7" spans="1:25" ht="30" customHeight="1">
      <c r="A7" s="374">
        <v>3</v>
      </c>
      <c r="B7" s="734">
        <f>DATA!AO116</f>
        <v>41699</v>
      </c>
      <c r="C7" s="374">
        <f>DATA!AQ116</f>
        <v>14860</v>
      </c>
      <c r="D7" s="374">
        <f>DATA!AR116</f>
        <v>9413</v>
      </c>
      <c r="E7" s="374">
        <f>DATA!AS116</f>
        <v>1783</v>
      </c>
      <c r="F7" s="374">
        <f>DATA!BK116</f>
        <v>4012</v>
      </c>
      <c r="G7" s="374">
        <f>IF(B7="","",SUM(C7:F7))</f>
        <v>30068</v>
      </c>
      <c r="H7" s="374">
        <f>IF(DATA!AU116=0,"",DATA!AU116)</f>
        <v>200</v>
      </c>
      <c r="I7" s="374">
        <f t="shared" si="0"/>
        <v>200</v>
      </c>
      <c r="J7" s="374">
        <f>DATA!AV116</f>
        <v>14050</v>
      </c>
      <c r="K7" s="374">
        <f>DATA!AW116</f>
        <v>8900</v>
      </c>
      <c r="L7" s="374">
        <f>DATA!AX116</f>
        <v>1686</v>
      </c>
      <c r="M7" s="374">
        <f>DATA!BL116</f>
        <v>3794</v>
      </c>
      <c r="N7" s="374">
        <f>IF(B7="","",SUM(J7:M7))</f>
        <v>28430</v>
      </c>
      <c r="O7" s="374">
        <f>IF(DATA!AZ116=0,"",DATA!AZ116)</f>
        <v>200</v>
      </c>
      <c r="P7" s="374">
        <f t="shared" si="1"/>
        <v>200</v>
      </c>
      <c r="Q7" s="374">
        <f>DATA!BA116</f>
        <v>810</v>
      </c>
      <c r="R7" s="374">
        <f>DATA!BB116</f>
        <v>513</v>
      </c>
      <c r="S7" s="374">
        <f>DATA!BC116</f>
        <v>97</v>
      </c>
      <c r="T7" s="374">
        <f t="shared" si="2"/>
        <v>218</v>
      </c>
      <c r="U7" s="374">
        <f>IF(B7="","",SUM(Q7:T7))</f>
        <v>1638</v>
      </c>
      <c r="V7" s="374">
        <f>IF(DATA!BI116=0,"",DATA!BI116)</f>
      </c>
      <c r="W7" s="374">
        <f t="shared" si="3"/>
        <v>0</v>
      </c>
      <c r="X7" s="374">
        <f>IF(B7="","",DATA!BI116+W7)</f>
        <v>0</v>
      </c>
      <c r="Y7" s="374">
        <f>IF(B7="","",U7-X7)</f>
        <v>1638</v>
      </c>
    </row>
    <row r="8" spans="1:25" ht="30" customHeight="1">
      <c r="A8" s="374">
        <v>4</v>
      </c>
      <c r="B8" s="734">
        <f>DATA!AO117</f>
      </c>
      <c r="C8" s="374">
        <f>DATA!AQ117</f>
      </c>
      <c r="D8" s="374">
        <f>DATA!AR117</f>
      </c>
      <c r="E8" s="374">
        <f>DATA!AS117</f>
      </c>
      <c r="F8" s="374">
        <f>DATA!BK117</f>
      </c>
      <c r="G8" s="374">
        <f>IF(B8="","",SUM(C8:F8))</f>
      </c>
      <c r="H8" s="374">
        <f>IF(DATA!AU117=0,"",DATA!AU117)</f>
      </c>
      <c r="I8" s="374">
        <f t="shared" si="0"/>
        <v>0</v>
      </c>
      <c r="J8" s="374">
        <f>DATA!AV117</f>
      </c>
      <c r="K8" s="374">
        <f>DATA!AW117</f>
      </c>
      <c r="L8" s="374">
        <f>DATA!AX117</f>
      </c>
      <c r="M8" s="374">
        <f>DATA!BL117</f>
      </c>
      <c r="N8" s="374">
        <f>IF(B8="","",SUM(J8:M8))</f>
      </c>
      <c r="O8" s="374">
        <f>IF(DATA!AZ117=0,"",DATA!AZ117)</f>
      </c>
      <c r="P8" s="374">
        <f t="shared" si="1"/>
        <v>0</v>
      </c>
      <c r="Q8" s="374">
        <f>DATA!BA117</f>
      </c>
      <c r="R8" s="374">
        <f>DATA!BB117</f>
      </c>
      <c r="S8" s="374">
        <f>DATA!BC117</f>
      </c>
      <c r="T8" s="374">
        <f t="shared" si="2"/>
      </c>
      <c r="U8" s="374">
        <f>IF(B8="","",SUM(Q8:T8))</f>
      </c>
      <c r="V8" s="374">
        <f>IF(DATA!BI117=0,"",DATA!BI117)</f>
      </c>
      <c r="W8" s="374">
        <f t="shared" si="3"/>
      </c>
      <c r="X8" s="374">
        <f>IF(B8="","",DATA!BI117+W8)</f>
      </c>
      <c r="Y8" s="374">
        <f>IF(B8="","",U8-X8)</f>
      </c>
    </row>
    <row r="9" spans="1:25" ht="30" customHeight="1">
      <c r="A9" s="374">
        <v>5</v>
      </c>
      <c r="B9" s="734">
        <f>DATA!AO118</f>
      </c>
      <c r="C9" s="374">
        <f>DATA!AQ118</f>
      </c>
      <c r="D9" s="374">
        <f>DATA!AR118</f>
      </c>
      <c r="E9" s="374">
        <f>DATA!AS118</f>
      </c>
      <c r="F9" s="374">
        <f>DATA!BK118</f>
      </c>
      <c r="G9" s="374">
        <f>IF(B9="","",SUM(C9:F9))</f>
      </c>
      <c r="H9" s="374">
        <f>IF(DATA!AU118=0,"",DATA!AU118)</f>
      </c>
      <c r="I9" s="374">
        <f t="shared" si="0"/>
        <v>0</v>
      </c>
      <c r="J9" s="374">
        <f>DATA!AV118</f>
      </c>
      <c r="K9" s="374">
        <f>DATA!AW118</f>
      </c>
      <c r="L9" s="374">
        <f>DATA!AX118</f>
      </c>
      <c r="M9" s="374">
        <f>DATA!BL118</f>
      </c>
      <c r="N9" s="374">
        <f>IF(B9="","",SUM(J9:M9))</f>
      </c>
      <c r="O9" s="374">
        <f>IF(DATA!AZ118=0,"",DATA!AZ118)</f>
      </c>
      <c r="P9" s="374">
        <f t="shared" si="1"/>
        <v>0</v>
      </c>
      <c r="Q9" s="374">
        <f>DATA!BA118</f>
      </c>
      <c r="R9" s="374">
        <f>DATA!BB118</f>
      </c>
      <c r="S9" s="374">
        <f>DATA!BC118</f>
      </c>
      <c r="T9" s="374">
        <f t="shared" si="2"/>
      </c>
      <c r="U9" s="374">
        <f>IF(B9="","",SUM(Q9:T9))</f>
      </c>
      <c r="V9" s="374">
        <f>IF(DATA!BI118=0,"",DATA!BI118)</f>
      </c>
      <c r="W9" s="374">
        <f t="shared" si="3"/>
      </c>
      <c r="X9" s="374">
        <f>IF(B9="","",DATA!BI118+W9)</f>
      </c>
      <c r="Y9" s="374">
        <f>IF(B9="","",U9-X9)</f>
      </c>
    </row>
    <row r="10" spans="1:25" ht="30" customHeight="1">
      <c r="A10" s="374">
        <v>6</v>
      </c>
      <c r="B10" s="734">
        <f>DATA!AO119</f>
      </c>
      <c r="C10" s="374">
        <f>DATA!AQ119</f>
      </c>
      <c r="D10" s="374">
        <f>DATA!AR119</f>
      </c>
      <c r="E10" s="374">
        <f>DATA!AS119</f>
      </c>
      <c r="F10" s="374">
        <f>DATA!BK119</f>
      </c>
      <c r="G10" s="374">
        <f>IF(B10="","",SUM(C10:F10))</f>
      </c>
      <c r="H10" s="374">
        <f>IF(DATA!AU119=0,"",DATA!AU119)</f>
      </c>
      <c r="I10" s="374">
        <f t="shared" si="0"/>
        <v>0</v>
      </c>
      <c r="J10" s="374">
        <f>DATA!AV119</f>
      </c>
      <c r="K10" s="374">
        <f>DATA!AW119</f>
      </c>
      <c r="L10" s="374">
        <f>DATA!AX119</f>
      </c>
      <c r="M10" s="374">
        <f>DATA!BL119</f>
      </c>
      <c r="N10" s="374">
        <f>IF(B10="","",SUM(J10:M10))</f>
      </c>
      <c r="O10" s="374">
        <f>IF(DATA!AZ119=0,"",DATA!AZ119)</f>
      </c>
      <c r="P10" s="374">
        <f t="shared" si="1"/>
        <v>0</v>
      </c>
      <c r="Q10" s="374">
        <f>DATA!BA119</f>
      </c>
      <c r="R10" s="374">
        <f>DATA!BB119</f>
      </c>
      <c r="S10" s="374">
        <f>DATA!BC119</f>
      </c>
      <c r="T10" s="374">
        <f t="shared" si="2"/>
      </c>
      <c r="U10" s="374">
        <f>IF(B10="","",SUM(Q10:T10))</f>
      </c>
      <c r="V10" s="374">
        <f>IF(DATA!BI119=0,"",DATA!BI119)</f>
      </c>
      <c r="W10" s="374">
        <f t="shared" si="3"/>
      </c>
      <c r="X10" s="374">
        <f>IF(B10="","",DATA!BI119+W10)</f>
      </c>
      <c r="Y10" s="374">
        <f>IF(B10="","",U10-X10)</f>
      </c>
    </row>
    <row r="11" spans="1:25" ht="30.75" customHeight="1">
      <c r="A11" s="735" t="s">
        <v>77</v>
      </c>
      <c r="B11" s="736"/>
      <c r="C11" s="374">
        <f>SUM(C5:C10)</f>
        <v>34993</v>
      </c>
      <c r="D11" s="374">
        <f>SUM(D5:D10)</f>
        <v>22166</v>
      </c>
      <c r="E11" s="374">
        <f>SUM(E5:E10)</f>
        <v>4199</v>
      </c>
      <c r="F11" s="374">
        <f>SUM(F5:F10)</f>
        <v>9448</v>
      </c>
      <c r="G11" s="374">
        <f>SUM(G5:G10)</f>
        <v>70806</v>
      </c>
      <c r="H11" s="374">
        <f>I11</f>
        <v>400</v>
      </c>
      <c r="I11" s="374">
        <f aca="true" t="shared" si="4" ref="I11:N11">SUM(I5:I10)</f>
        <v>400</v>
      </c>
      <c r="J11" s="374">
        <f t="shared" si="4"/>
        <v>33085</v>
      </c>
      <c r="K11" s="374">
        <f t="shared" si="4"/>
        <v>20958</v>
      </c>
      <c r="L11" s="374">
        <f t="shared" si="4"/>
        <v>3970</v>
      </c>
      <c r="M11" s="374">
        <f t="shared" si="4"/>
        <v>8934</v>
      </c>
      <c r="N11" s="374">
        <f t="shared" si="4"/>
        <v>66947</v>
      </c>
      <c r="O11" s="374">
        <f>P11</f>
        <v>400</v>
      </c>
      <c r="P11" s="374">
        <f aca="true" t="shared" si="5" ref="P11:Y11">SUM(P5:P10)</f>
        <v>400</v>
      </c>
      <c r="Q11" s="374">
        <f t="shared" si="5"/>
        <v>1908</v>
      </c>
      <c r="R11" s="374">
        <f t="shared" si="5"/>
        <v>1208</v>
      </c>
      <c r="S11" s="374">
        <f t="shared" si="5"/>
        <v>229</v>
      </c>
      <c r="T11" s="374">
        <f t="shared" si="5"/>
        <v>514</v>
      </c>
      <c r="U11" s="374">
        <f t="shared" si="5"/>
        <v>3859</v>
      </c>
      <c r="V11" s="374">
        <f t="shared" si="5"/>
        <v>0</v>
      </c>
      <c r="W11" s="374">
        <f t="shared" si="5"/>
        <v>0</v>
      </c>
      <c r="X11" s="374">
        <f t="shared" si="5"/>
        <v>0</v>
      </c>
      <c r="Y11" s="374">
        <f t="shared" si="5"/>
        <v>3859</v>
      </c>
    </row>
    <row r="14" ht="15">
      <c r="K14" s="352" t="str">
        <f>CONCATENATE("Pass Per Rs.  ",Y11,"/","-","(",DATA!AL141,")")</f>
        <v>Pass Per Rs.  3859/-(  Three Thousands Eight Hundred and Fifty Nine rupees only )</v>
      </c>
    </row>
    <row r="15" spans="2:25" ht="15">
      <c r="B15" s="216" t="s">
        <v>79</v>
      </c>
      <c r="H15" s="217"/>
      <c r="I15" s="217"/>
      <c r="J15" s="498"/>
      <c r="K15" s="498"/>
      <c r="L15" s="24"/>
      <c r="M15" s="24"/>
      <c r="N15" s="218"/>
      <c r="O15" s="217"/>
      <c r="P15" s="217"/>
      <c r="Q15" s="217"/>
      <c r="R15" s="217"/>
      <c r="S15" s="217"/>
      <c r="T15" s="217"/>
      <c r="U15" s="217"/>
      <c r="V15" s="217"/>
      <c r="W15" s="217"/>
      <c r="X15" s="217"/>
      <c r="Y15" s="217"/>
    </row>
    <row r="16" spans="2:27" ht="15" customHeight="1">
      <c r="B16" s="506" t="s">
        <v>80</v>
      </c>
      <c r="C16" s="506"/>
      <c r="D16" s="506"/>
      <c r="E16" s="506"/>
      <c r="F16" s="506"/>
      <c r="G16" s="506"/>
      <c r="Q16" s="219"/>
      <c r="R16" s="219"/>
      <c r="S16" s="219"/>
      <c r="T16" s="219"/>
      <c r="U16" s="219"/>
      <c r="V16" s="219"/>
      <c r="W16" s="219"/>
      <c r="X16" s="219"/>
      <c r="Y16" s="219"/>
      <c r="Z16" s="4"/>
      <c r="AA16" s="4"/>
    </row>
    <row r="17" spans="2:27" ht="15">
      <c r="B17" s="506"/>
      <c r="C17" s="506"/>
      <c r="D17" s="506"/>
      <c r="E17" s="506"/>
      <c r="F17" s="506"/>
      <c r="G17" s="506"/>
      <c r="O17" s="219"/>
      <c r="P17" s="219"/>
      <c r="Q17" s="219"/>
      <c r="R17" s="219"/>
      <c r="S17" s="219"/>
      <c r="T17" s="219"/>
      <c r="U17" s="219"/>
      <c r="V17" s="219"/>
      <c r="W17" s="219"/>
      <c r="X17" s="219"/>
      <c r="Y17" s="219"/>
      <c r="Z17" s="4"/>
      <c r="AA17" s="4"/>
    </row>
    <row r="18" spans="2:29" ht="15">
      <c r="B18" s="506"/>
      <c r="C18" s="506"/>
      <c r="D18" s="506"/>
      <c r="E18" s="506"/>
      <c r="F18" s="506"/>
      <c r="G18" s="506"/>
      <c r="N18" s="507" t="s">
        <v>81</v>
      </c>
      <c r="O18" s="507"/>
      <c r="P18" s="507"/>
      <c r="Q18" s="507"/>
      <c r="R18" s="507"/>
      <c r="S18" s="507"/>
      <c r="T18" s="377"/>
      <c r="AC18" s="25"/>
    </row>
    <row r="20" ht="15">
      <c r="Z20" s="381"/>
    </row>
    <row r="21" spans="1:26" ht="15">
      <c r="A21" s="373" t="s">
        <v>468</v>
      </c>
      <c r="B21" s="42"/>
      <c r="C21" s="42"/>
      <c r="D21" s="42"/>
      <c r="E21" s="42"/>
      <c r="F21" s="42"/>
      <c r="G21" s="42"/>
      <c r="H21" s="42"/>
      <c r="I21" s="42"/>
      <c r="J21" s="42"/>
      <c r="K21" s="42"/>
      <c r="L21" s="42"/>
      <c r="M21" s="42"/>
      <c r="N21" s="42"/>
      <c r="O21" s="42"/>
      <c r="P21" s="42"/>
      <c r="Q21" s="42"/>
      <c r="R21" s="42"/>
      <c r="S21" s="42"/>
      <c r="T21" s="42"/>
      <c r="U21" s="42"/>
      <c r="V21" s="42"/>
      <c r="W21" s="42"/>
      <c r="X21" s="42"/>
      <c r="Y21" s="42"/>
      <c r="Z21" s="381"/>
    </row>
  </sheetData>
  <sheetProtection password="E69A" sheet="1" objects="1" scenarios="1" selectLockedCells="1"/>
  <protectedRanges>
    <protectedRange sqref="B15" name="Range1_2"/>
    <protectedRange sqref="N15 O17:P17 Q16:AA17" name="Range1_5"/>
  </protectedRanges>
  <mergeCells count="16">
    <mergeCell ref="J15:K15"/>
    <mergeCell ref="A11:B11"/>
    <mergeCell ref="A1:Y2"/>
    <mergeCell ref="A3:A4"/>
    <mergeCell ref="V3:V4"/>
    <mergeCell ref="B16:G18"/>
    <mergeCell ref="N18:S18"/>
    <mergeCell ref="W3:W4"/>
    <mergeCell ref="Y3:Y4"/>
    <mergeCell ref="C3:G3"/>
    <mergeCell ref="X3:X4"/>
    <mergeCell ref="H3:H4"/>
    <mergeCell ref="B3:B4"/>
    <mergeCell ref="J3:N3"/>
    <mergeCell ref="O3:O4"/>
    <mergeCell ref="Q3:U3"/>
  </mergeCells>
  <printOptions/>
  <pageMargins left="0.32" right="0.18" top="0.66" bottom="0.13" header="0.54" footer="0.25"/>
  <pageSetup horizontalDpi="300" verticalDpi="300" orientation="landscape" paperSize="9" scale="95" r:id="rId2"/>
  <ignoredErrors>
    <ignoredError sqref="A5:Y10 A11:G11 I11:N11 P11:Y11" unlockedFormula="1"/>
    <ignoredError sqref="H11 O11" formula="1" unlockedFormula="1"/>
  </ignoredErrors>
  <drawing r:id="rId1"/>
</worksheet>
</file>

<file path=xl/worksheets/sheet4.xml><?xml version="1.0" encoding="utf-8"?>
<worksheet xmlns="http://schemas.openxmlformats.org/spreadsheetml/2006/main" xmlns:r="http://schemas.openxmlformats.org/officeDocument/2006/relationships">
  <sheetPr>
    <tabColor rgb="FF00B0F0"/>
  </sheetPr>
  <dimension ref="A1:AA65"/>
  <sheetViews>
    <sheetView showGridLines="0" showRowColHeaders="0" zoomScalePageLayoutView="0" workbookViewId="0" topLeftCell="A1">
      <selection activeCell="AA12" sqref="AA12"/>
    </sheetView>
  </sheetViews>
  <sheetFormatPr defaultColWidth="9.140625" defaultRowHeight="15"/>
  <cols>
    <col min="1" max="1" width="3.7109375" style="1" customWidth="1"/>
    <col min="2" max="2" width="5.8515625" style="1" customWidth="1"/>
    <col min="3" max="3" width="6.8515625" style="1" customWidth="1"/>
    <col min="4" max="5" width="4.28125" style="1" customWidth="1"/>
    <col min="6" max="6" width="4.57421875" style="1" customWidth="1"/>
    <col min="7" max="8" width="4.28125" style="1" customWidth="1"/>
    <col min="9" max="9" width="4.57421875" style="1" customWidth="1"/>
    <col min="10" max="10" width="2.57421875" style="1" customWidth="1"/>
    <col min="11" max="16" width="4.28125" style="1" customWidth="1"/>
    <col min="17" max="17" width="1.7109375" style="1" customWidth="1"/>
    <col min="18" max="18" width="3.8515625" style="1" customWidth="1"/>
    <col min="19" max="19" width="3.7109375" style="1" customWidth="1"/>
    <col min="20" max="20" width="7.140625" style="1" customWidth="1"/>
    <col min="21" max="21" width="2.8515625" style="1" customWidth="1"/>
    <col min="22" max="22" width="2.00390625" style="1" customWidth="1"/>
    <col min="23" max="23" width="2.421875" style="1" customWidth="1"/>
    <col min="24" max="24" width="1.421875" style="1" customWidth="1"/>
    <col min="25" max="16384" width="9.140625" style="1" customWidth="1"/>
  </cols>
  <sheetData>
    <row r="1" spans="1:24" s="6" customFormat="1" ht="19.5" customHeight="1">
      <c r="A1" s="511" t="str">
        <f>CONCATENATE("        AAS arrear bill of  ","  ",DATA!T130,DATA!E2,", ",DATA!V120,", ",DATA!T148,", ",DATA!D7)</f>
        <v>        AAS arrear bill of    Sri.K.Chandra sekhar, S.G.T., ZPH School, Jonnagiri</v>
      </c>
      <c r="B1" s="511"/>
      <c r="C1" s="511"/>
      <c r="D1" s="511"/>
      <c r="E1" s="511"/>
      <c r="F1" s="511"/>
      <c r="G1" s="511"/>
      <c r="H1" s="511"/>
      <c r="I1" s="511"/>
      <c r="J1" s="511"/>
      <c r="K1" s="511"/>
      <c r="L1" s="511"/>
      <c r="M1" s="511"/>
      <c r="N1" s="511"/>
      <c r="O1" s="511"/>
      <c r="P1" s="511"/>
      <c r="Q1" s="511"/>
      <c r="R1" s="511"/>
      <c r="S1" s="511"/>
      <c r="T1" s="511"/>
      <c r="U1" s="511"/>
      <c r="V1" s="511"/>
      <c r="W1" s="511"/>
      <c r="X1" s="511"/>
    </row>
    <row r="2" spans="1:24" ht="16.5" customHeight="1" thickBot="1">
      <c r="A2" s="136"/>
      <c r="B2" s="510" t="str">
        <f>CONCATENATE("Payable At Sub-Treasury Office - ",DATA!I15)</f>
        <v>Payable At Sub-Treasury Office - STO, Pathikonda</v>
      </c>
      <c r="C2" s="510"/>
      <c r="D2" s="510"/>
      <c r="E2" s="510"/>
      <c r="F2" s="510"/>
      <c r="G2" s="510"/>
      <c r="H2" s="510"/>
      <c r="I2" s="510"/>
      <c r="J2" s="510"/>
      <c r="K2" s="510"/>
      <c r="L2" s="510"/>
      <c r="M2" s="510"/>
      <c r="N2" s="510"/>
      <c r="O2" s="510"/>
      <c r="P2" s="510"/>
      <c r="Q2" s="510"/>
      <c r="R2" s="510"/>
      <c r="S2" s="510"/>
      <c r="T2" s="510"/>
      <c r="U2" s="509">
        <f>DATA!AM113</f>
        <v>41699</v>
      </c>
      <c r="V2" s="509"/>
      <c r="W2" s="509"/>
      <c r="X2" s="509"/>
    </row>
    <row r="3" spans="1:24" ht="30.75" customHeight="1">
      <c r="A3" s="137"/>
      <c r="B3" s="543" t="s">
        <v>84</v>
      </c>
      <c r="C3" s="544"/>
      <c r="D3" s="544"/>
      <c r="E3" s="544"/>
      <c r="F3" s="544"/>
      <c r="G3" s="544"/>
      <c r="H3" s="544"/>
      <c r="I3" s="544"/>
      <c r="J3" s="544"/>
      <c r="K3" s="544"/>
      <c r="L3" s="544"/>
      <c r="M3" s="544"/>
      <c r="N3" s="544"/>
      <c r="O3" s="544"/>
      <c r="P3" s="544"/>
      <c r="Q3" s="544"/>
      <c r="R3" s="544"/>
      <c r="S3" s="544"/>
      <c r="T3" s="544"/>
      <c r="U3" s="544"/>
      <c r="V3" s="544"/>
      <c r="W3" s="544"/>
      <c r="X3" s="545"/>
    </row>
    <row r="4" spans="1:24" ht="15" customHeight="1">
      <c r="A4" s="137"/>
      <c r="B4" s="201"/>
      <c r="C4" s="202"/>
      <c r="D4" s="202"/>
      <c r="E4" s="202"/>
      <c r="F4" s="202"/>
      <c r="G4" s="202"/>
      <c r="H4" s="202"/>
      <c r="I4" s="202"/>
      <c r="J4" s="202"/>
      <c r="K4" s="202"/>
      <c r="L4" s="202"/>
      <c r="M4" s="202"/>
      <c r="N4" s="202"/>
      <c r="O4" s="202"/>
      <c r="P4" s="202"/>
      <c r="Q4" s="202"/>
      <c r="R4" s="546" t="s">
        <v>85</v>
      </c>
      <c r="S4" s="547"/>
      <c r="T4" s="547"/>
      <c r="U4" s="547"/>
      <c r="V4" s="547"/>
      <c r="W4" s="547"/>
      <c r="X4" s="548"/>
    </row>
    <row r="5" spans="1:24" ht="15">
      <c r="A5" s="137"/>
      <c r="B5" s="533" t="s">
        <v>86</v>
      </c>
      <c r="C5" s="534"/>
      <c r="D5" s="534"/>
      <c r="E5" s="534"/>
      <c r="F5" s="138">
        <f>DATA!AC115</f>
        <v>0</v>
      </c>
      <c r="G5" s="138">
        <f>DATA!AD115</f>
        <v>3</v>
      </c>
      <c r="H5" s="139"/>
      <c r="I5" s="138">
        <v>2</v>
      </c>
      <c r="J5" s="138">
        <v>0</v>
      </c>
      <c r="K5" s="138">
        <f>DATA!AF116</f>
        <v>1</v>
      </c>
      <c r="L5" s="138">
        <f>DATA!AG116</f>
        <v>4</v>
      </c>
      <c r="M5" s="139"/>
      <c r="N5" s="139"/>
      <c r="O5" s="202"/>
      <c r="P5" s="202"/>
      <c r="Q5" s="140"/>
      <c r="R5" s="141" t="s">
        <v>87</v>
      </c>
      <c r="S5" s="140"/>
      <c r="T5" s="140"/>
      <c r="U5" s="140"/>
      <c r="V5" s="140"/>
      <c r="W5" s="140"/>
      <c r="X5" s="142"/>
    </row>
    <row r="6" spans="1:24" ht="9" customHeight="1">
      <c r="A6" s="137"/>
      <c r="B6" s="143"/>
      <c r="C6" s="144"/>
      <c r="D6" s="144"/>
      <c r="E6" s="144"/>
      <c r="F6" s="145"/>
      <c r="G6" s="145"/>
      <c r="H6" s="202"/>
      <c r="I6" s="202"/>
      <c r="J6" s="202"/>
      <c r="K6" s="202"/>
      <c r="L6" s="202"/>
      <c r="M6" s="202"/>
      <c r="N6" s="202"/>
      <c r="O6" s="202"/>
      <c r="P6" s="202"/>
      <c r="Q6" s="140"/>
      <c r="R6" s="146"/>
      <c r="S6" s="140"/>
      <c r="T6" s="140"/>
      <c r="U6" s="140"/>
      <c r="V6" s="140"/>
      <c r="W6" s="140"/>
      <c r="X6" s="142"/>
    </row>
    <row r="7" spans="1:24" ht="15">
      <c r="A7" s="137"/>
      <c r="B7" s="533" t="s">
        <v>88</v>
      </c>
      <c r="C7" s="534"/>
      <c r="D7" s="534"/>
      <c r="E7" s="534"/>
      <c r="F7" s="519">
        <f>DATA!M15</f>
        <v>913</v>
      </c>
      <c r="G7" s="520"/>
      <c r="H7" s="520"/>
      <c r="I7" s="521"/>
      <c r="J7" s="202"/>
      <c r="K7" s="202"/>
      <c r="L7" s="202"/>
      <c r="M7" s="202"/>
      <c r="N7" s="202"/>
      <c r="O7" s="202"/>
      <c r="P7" s="202"/>
      <c r="Q7" s="147"/>
      <c r="R7" s="540" t="s">
        <v>89</v>
      </c>
      <c r="S7" s="541"/>
      <c r="T7" s="497"/>
      <c r="U7" s="497"/>
      <c r="V7" s="497"/>
      <c r="W7" s="497"/>
      <c r="X7" s="539"/>
    </row>
    <row r="8" spans="1:24" ht="7.5" customHeight="1">
      <c r="A8" s="137"/>
      <c r="B8" s="143"/>
      <c r="C8" s="144"/>
      <c r="D8" s="144"/>
      <c r="E8" s="144"/>
      <c r="F8" s="202"/>
      <c r="G8" s="202"/>
      <c r="H8" s="202"/>
      <c r="I8" s="202"/>
      <c r="J8" s="202"/>
      <c r="K8" s="202"/>
      <c r="L8" s="202"/>
      <c r="M8" s="202"/>
      <c r="N8" s="202"/>
      <c r="O8" s="202"/>
      <c r="P8" s="202"/>
      <c r="Q8" s="147"/>
      <c r="R8" s="148"/>
      <c r="S8" s="149"/>
      <c r="T8" s="149"/>
      <c r="U8" s="149"/>
      <c r="V8" s="149"/>
      <c r="W8" s="149"/>
      <c r="X8" s="150"/>
    </row>
    <row r="9" spans="1:24" ht="7.5" customHeight="1">
      <c r="A9" s="137"/>
      <c r="B9" s="143"/>
      <c r="C9" s="144"/>
      <c r="D9" s="144"/>
      <c r="E9" s="144"/>
      <c r="F9" s="202"/>
      <c r="G9" s="202"/>
      <c r="H9" s="202"/>
      <c r="I9" s="202"/>
      <c r="J9" s="202"/>
      <c r="K9" s="202"/>
      <c r="L9" s="202"/>
      <c r="M9" s="202"/>
      <c r="N9" s="202"/>
      <c r="O9" s="202"/>
      <c r="P9" s="202"/>
      <c r="Q9" s="147"/>
      <c r="R9" s="151"/>
      <c r="S9" s="151"/>
      <c r="T9" s="151"/>
      <c r="U9" s="151"/>
      <c r="V9" s="151"/>
      <c r="W9" s="151"/>
      <c r="X9" s="152"/>
    </row>
    <row r="10" spans="1:27" ht="15">
      <c r="A10" s="137"/>
      <c r="B10" s="533" t="s">
        <v>90</v>
      </c>
      <c r="C10" s="534"/>
      <c r="D10" s="534"/>
      <c r="E10" s="534"/>
      <c r="F10" s="523">
        <f>DATA!D15</f>
        <v>9130308020</v>
      </c>
      <c r="G10" s="523"/>
      <c r="H10" s="523"/>
      <c r="I10" s="523"/>
      <c r="J10" s="523"/>
      <c r="K10" s="153"/>
      <c r="L10" s="202"/>
      <c r="M10" s="202"/>
      <c r="N10" s="202"/>
      <c r="O10" s="202"/>
      <c r="P10" s="202"/>
      <c r="Q10" s="147"/>
      <c r="R10" s="522" t="s">
        <v>152</v>
      </c>
      <c r="S10" s="522"/>
      <c r="T10" s="511" t="str">
        <f>DATA!L14</f>
        <v>Kurnool</v>
      </c>
      <c r="U10" s="511"/>
      <c r="V10" s="511"/>
      <c r="W10" s="511"/>
      <c r="X10" s="531"/>
      <c r="AA10" s="8"/>
    </row>
    <row r="11" spans="1:24" ht="7.5" customHeight="1">
      <c r="A11" s="137"/>
      <c r="B11" s="154"/>
      <c r="C11" s="140"/>
      <c r="D11" s="140"/>
      <c r="E11" s="140"/>
      <c r="F11" s="147"/>
      <c r="G11" s="147"/>
      <c r="H11" s="147"/>
      <c r="I11" s="147"/>
      <c r="J11" s="147"/>
      <c r="K11" s="147"/>
      <c r="L11" s="147"/>
      <c r="M11" s="147"/>
      <c r="N11" s="147"/>
      <c r="O11" s="147"/>
      <c r="P11" s="147"/>
      <c r="Q11" s="147"/>
      <c r="R11" s="140"/>
      <c r="S11" s="140"/>
      <c r="T11" s="140"/>
      <c r="U11" s="140"/>
      <c r="V11" s="140"/>
      <c r="W11" s="140"/>
      <c r="X11" s="155"/>
    </row>
    <row r="12" spans="1:24" ht="19.5" customHeight="1">
      <c r="A12" s="137"/>
      <c r="B12" s="154" t="s">
        <v>91</v>
      </c>
      <c r="C12" s="140"/>
      <c r="D12" s="140"/>
      <c r="E12" s="140"/>
      <c r="F12" s="535" t="str">
        <f>DATA!O144</f>
        <v>Mandal Educational Officer</v>
      </c>
      <c r="G12" s="535"/>
      <c r="H12" s="535"/>
      <c r="I12" s="535"/>
      <c r="J12" s="535"/>
      <c r="K12" s="535"/>
      <c r="L12" s="535"/>
      <c r="M12" s="536" t="s">
        <v>92</v>
      </c>
      <c r="N12" s="536"/>
      <c r="O12" s="536"/>
      <c r="P12" s="536"/>
      <c r="Q12" s="536"/>
      <c r="R12" s="549" t="str">
        <f>CONCATENATE(DATA!O144,", ",DATA!P144)</f>
        <v>Mandal Educational Officer, Mandal Parishad</v>
      </c>
      <c r="S12" s="549"/>
      <c r="T12" s="549"/>
      <c r="U12" s="549"/>
      <c r="V12" s="549"/>
      <c r="W12" s="549"/>
      <c r="X12" s="550"/>
    </row>
    <row r="13" spans="1:24" ht="7.5" customHeight="1">
      <c r="A13" s="137"/>
      <c r="B13" s="154"/>
      <c r="C13" s="140"/>
      <c r="D13" s="140"/>
      <c r="E13" s="140"/>
      <c r="F13" s="140"/>
      <c r="G13" s="140"/>
      <c r="H13" s="140"/>
      <c r="I13" s="140"/>
      <c r="J13" s="140"/>
      <c r="K13" s="140"/>
      <c r="L13" s="140"/>
      <c r="M13" s="140"/>
      <c r="N13" s="140"/>
      <c r="O13" s="140"/>
      <c r="P13" s="140"/>
      <c r="Q13" s="140"/>
      <c r="R13" s="549"/>
      <c r="S13" s="549"/>
      <c r="T13" s="549"/>
      <c r="U13" s="549"/>
      <c r="V13" s="549"/>
      <c r="W13" s="549"/>
      <c r="X13" s="550"/>
    </row>
    <row r="14" spans="1:27" ht="15">
      <c r="A14" s="137"/>
      <c r="B14" s="154" t="s">
        <v>93</v>
      </c>
      <c r="C14" s="140"/>
      <c r="D14" s="140"/>
      <c r="E14" s="140"/>
      <c r="F14" s="519">
        <f>DATA!I16</f>
        <v>981</v>
      </c>
      <c r="G14" s="520"/>
      <c r="H14" s="520"/>
      <c r="I14" s="521"/>
      <c r="J14" s="156"/>
      <c r="K14" s="156"/>
      <c r="L14" s="140"/>
      <c r="M14" s="140"/>
      <c r="N14" s="530" t="s">
        <v>94</v>
      </c>
      <c r="O14" s="530"/>
      <c r="P14" s="530"/>
      <c r="Q14" s="530"/>
      <c r="R14" s="511" t="str">
        <f>DATA!D16</f>
        <v>State Bank of India, Pathikonda</v>
      </c>
      <c r="S14" s="511"/>
      <c r="T14" s="511"/>
      <c r="U14" s="511"/>
      <c r="V14" s="511"/>
      <c r="W14" s="511"/>
      <c r="X14" s="531"/>
      <c r="AA14" s="9"/>
    </row>
    <row r="15" spans="1:24" ht="7.5" customHeight="1">
      <c r="A15" s="137"/>
      <c r="B15" s="154"/>
      <c r="C15" s="140"/>
      <c r="D15" s="140"/>
      <c r="E15" s="140"/>
      <c r="F15" s="202"/>
      <c r="G15" s="202"/>
      <c r="H15" s="202"/>
      <c r="I15" s="202"/>
      <c r="J15" s="157"/>
      <c r="K15" s="157"/>
      <c r="L15" s="140"/>
      <c r="M15" s="140"/>
      <c r="N15" s="140"/>
      <c r="O15" s="140"/>
      <c r="P15" s="140"/>
      <c r="Q15" s="140"/>
      <c r="R15" s="140"/>
      <c r="S15" s="140"/>
      <c r="T15" s="140"/>
      <c r="U15" s="140"/>
      <c r="V15" s="140"/>
      <c r="W15" s="140"/>
      <c r="X15" s="155"/>
    </row>
    <row r="16" spans="1:24" ht="15">
      <c r="A16" s="137"/>
      <c r="B16" s="154" t="s">
        <v>95</v>
      </c>
      <c r="C16" s="140"/>
      <c r="D16" s="140"/>
      <c r="E16" s="140"/>
      <c r="F16" s="138">
        <v>0</v>
      </c>
      <c r="G16" s="138"/>
      <c r="H16" s="138"/>
      <c r="I16" s="158"/>
      <c r="J16" s="532" t="s">
        <v>154</v>
      </c>
      <c r="K16" s="532"/>
      <c r="L16" s="532"/>
      <c r="M16" s="140"/>
      <c r="N16" s="140"/>
      <c r="O16" s="140"/>
      <c r="P16" s="140"/>
      <c r="Q16" s="140"/>
      <c r="R16" s="140"/>
      <c r="S16" s="140"/>
      <c r="T16" s="140"/>
      <c r="U16" s="140"/>
      <c r="V16" s="140"/>
      <c r="W16" s="140"/>
      <c r="X16" s="155"/>
    </row>
    <row r="17" spans="1:24" ht="15" customHeight="1" thickBot="1">
      <c r="A17" s="564" t="str">
        <f>CONCATENATE("UNDER RUPEES:",DATA!AL147,"  Only")</f>
        <v>UNDER RUPEES:  Three Thousands Eight Hundred and Sixty  rupees only   Only</v>
      </c>
      <c r="B17" s="159"/>
      <c r="C17" s="160"/>
      <c r="D17" s="160"/>
      <c r="E17" s="160"/>
      <c r="F17" s="160"/>
      <c r="G17" s="160"/>
      <c r="H17" s="160"/>
      <c r="I17" s="160"/>
      <c r="J17" s="160"/>
      <c r="K17" s="160"/>
      <c r="L17" s="160"/>
      <c r="M17" s="160"/>
      <c r="N17" s="160"/>
      <c r="O17" s="160"/>
      <c r="P17" s="160"/>
      <c r="Q17" s="160"/>
      <c r="R17" s="161" t="s">
        <v>153</v>
      </c>
      <c r="S17" s="160"/>
      <c r="T17" s="160"/>
      <c r="U17" s="160"/>
      <c r="V17" s="160"/>
      <c r="W17" s="160"/>
      <c r="X17" s="162"/>
    </row>
    <row r="18" spans="1:24" ht="15">
      <c r="A18" s="564"/>
      <c r="B18" s="163" t="s">
        <v>96</v>
      </c>
      <c r="C18" s="140"/>
      <c r="D18" s="140"/>
      <c r="E18" s="140"/>
      <c r="F18" s="140"/>
      <c r="G18" s="140"/>
      <c r="H18" s="140"/>
      <c r="I18" s="140"/>
      <c r="J18" s="140"/>
      <c r="K18" s="140"/>
      <c r="L18" s="164"/>
      <c r="M18" s="518" t="s">
        <v>97</v>
      </c>
      <c r="N18" s="516"/>
      <c r="O18" s="516"/>
      <c r="P18" s="516"/>
      <c r="Q18" s="516"/>
      <c r="R18" s="516"/>
      <c r="S18" s="140"/>
      <c r="T18" s="516" t="s">
        <v>98</v>
      </c>
      <c r="U18" s="516"/>
      <c r="V18" s="516"/>
      <c r="W18" s="516"/>
      <c r="X18" s="517"/>
    </row>
    <row r="19" spans="1:24" ht="15">
      <c r="A19" s="564"/>
      <c r="B19" s="154" t="s">
        <v>99</v>
      </c>
      <c r="C19" s="140"/>
      <c r="D19" s="140"/>
      <c r="E19" s="165">
        <f>IF(DATA!R161=5,"",2)</f>
        <v>2</v>
      </c>
      <c r="F19" s="165">
        <f>IF(DATA!R161=5,"",2)</f>
        <v>2</v>
      </c>
      <c r="G19" s="165">
        <f>IF(DATA!R161=5,"",0)</f>
        <v>0</v>
      </c>
      <c r="H19" s="165">
        <f>IF(DATA!R161=5,"",2)</f>
        <v>2</v>
      </c>
      <c r="I19" s="166" t="str">
        <f>IF(DATA!R161=5,"","General Education")</f>
        <v>General Education</v>
      </c>
      <c r="J19" s="147"/>
      <c r="K19" s="147"/>
      <c r="L19" s="147"/>
      <c r="M19" s="146">
        <v>1</v>
      </c>
      <c r="N19" s="140" t="s">
        <v>279</v>
      </c>
      <c r="O19" s="140"/>
      <c r="P19" s="140"/>
      <c r="Q19" s="140"/>
      <c r="R19" s="140"/>
      <c r="S19" s="140" t="s">
        <v>100</v>
      </c>
      <c r="T19" s="571"/>
      <c r="U19" s="571"/>
      <c r="V19" s="571"/>
      <c r="W19" s="571"/>
      <c r="X19" s="572"/>
    </row>
    <row r="20" spans="1:24" ht="6" customHeight="1">
      <c r="A20" s="564"/>
      <c r="B20" s="154"/>
      <c r="C20" s="140"/>
      <c r="D20" s="140"/>
      <c r="E20" s="147"/>
      <c r="F20" s="147"/>
      <c r="G20" s="147"/>
      <c r="H20" s="147"/>
      <c r="I20" s="147"/>
      <c r="J20" s="147"/>
      <c r="K20" s="147"/>
      <c r="L20" s="147"/>
      <c r="M20" s="146"/>
      <c r="N20" s="140"/>
      <c r="O20" s="140"/>
      <c r="P20" s="140"/>
      <c r="Q20" s="140"/>
      <c r="R20" s="140"/>
      <c r="S20" s="140"/>
      <c r="T20" s="167"/>
      <c r="U20" s="167"/>
      <c r="V20" s="167"/>
      <c r="W20" s="167"/>
      <c r="X20" s="168"/>
    </row>
    <row r="21" spans="1:24" ht="15">
      <c r="A21" s="564"/>
      <c r="B21" s="154" t="s">
        <v>101</v>
      </c>
      <c r="C21" s="140"/>
      <c r="D21" s="140"/>
      <c r="E21" s="165">
        <v>0</v>
      </c>
      <c r="F21" s="165">
        <f>DATA!P167</f>
        <v>2</v>
      </c>
      <c r="G21" s="169"/>
      <c r="H21" s="166" t="str">
        <f>DATA!P168</f>
        <v>Secondary Education</v>
      </c>
      <c r="I21" s="147"/>
      <c r="J21" s="147"/>
      <c r="K21" s="147"/>
      <c r="L21" s="147"/>
      <c r="M21" s="146">
        <v>2</v>
      </c>
      <c r="N21" s="140" t="s">
        <v>102</v>
      </c>
      <c r="O21" s="140"/>
      <c r="P21" s="140"/>
      <c r="Q21" s="140"/>
      <c r="R21" s="140"/>
      <c r="S21" s="140" t="s">
        <v>100</v>
      </c>
      <c r="T21" s="512"/>
      <c r="U21" s="512"/>
      <c r="V21" s="512"/>
      <c r="W21" s="512"/>
      <c r="X21" s="573"/>
    </row>
    <row r="22" spans="1:24" ht="6" customHeight="1">
      <c r="A22" s="564"/>
      <c r="B22" s="154"/>
      <c r="C22" s="140"/>
      <c r="D22" s="140"/>
      <c r="E22" s="169"/>
      <c r="F22" s="169"/>
      <c r="G22" s="169"/>
      <c r="H22" s="147"/>
      <c r="I22" s="147"/>
      <c r="J22" s="147"/>
      <c r="K22" s="147"/>
      <c r="L22" s="147"/>
      <c r="M22" s="146"/>
      <c r="N22" s="140"/>
      <c r="O22" s="140"/>
      <c r="P22" s="140"/>
      <c r="Q22" s="140"/>
      <c r="R22" s="140"/>
      <c r="S22" s="140"/>
      <c r="T22" s="167"/>
      <c r="U22" s="170"/>
      <c r="V22" s="170"/>
      <c r="W22" s="170"/>
      <c r="X22" s="171"/>
    </row>
    <row r="23" spans="1:24" ht="24" customHeight="1">
      <c r="A23" s="564"/>
      <c r="B23" s="154" t="s">
        <v>103</v>
      </c>
      <c r="C23" s="140"/>
      <c r="D23" s="140"/>
      <c r="E23" s="165">
        <v>1</v>
      </c>
      <c r="F23" s="165">
        <f>DATA!R168</f>
        <v>9</v>
      </c>
      <c r="G23" s="165">
        <f>DATA!S168</f>
        <v>1</v>
      </c>
      <c r="H23" s="574" t="str">
        <f>DATA!P169</f>
        <v>Assistance to Local Bodies for Secondary Education</v>
      </c>
      <c r="I23" s="526"/>
      <c r="J23" s="526"/>
      <c r="K23" s="526"/>
      <c r="L23" s="527"/>
      <c r="M23" s="146">
        <v>3</v>
      </c>
      <c r="N23" s="140" t="s">
        <v>104</v>
      </c>
      <c r="O23" s="140"/>
      <c r="P23" s="140"/>
      <c r="Q23" s="140"/>
      <c r="R23" s="140"/>
      <c r="S23" s="140" t="s">
        <v>100</v>
      </c>
      <c r="T23" s="524"/>
      <c r="U23" s="524"/>
      <c r="V23" s="524"/>
      <c r="W23" s="524"/>
      <c r="X23" s="525"/>
    </row>
    <row r="24" spans="1:24" ht="6" customHeight="1">
      <c r="A24" s="564"/>
      <c r="B24" s="154"/>
      <c r="C24" s="140"/>
      <c r="D24" s="140"/>
      <c r="E24" s="169"/>
      <c r="F24" s="169"/>
      <c r="G24" s="169"/>
      <c r="H24" s="147"/>
      <c r="I24" s="147"/>
      <c r="J24" s="147"/>
      <c r="K24" s="147"/>
      <c r="L24" s="147"/>
      <c r="M24" s="146"/>
      <c r="N24" s="140"/>
      <c r="O24" s="140"/>
      <c r="P24" s="140"/>
      <c r="Q24" s="140"/>
      <c r="R24" s="140"/>
      <c r="S24" s="140"/>
      <c r="T24" s="167"/>
      <c r="U24" s="167"/>
      <c r="V24" s="167"/>
      <c r="W24" s="167"/>
      <c r="X24" s="168"/>
    </row>
    <row r="25" spans="1:24" ht="15">
      <c r="A25" s="564"/>
      <c r="B25" s="172" t="s">
        <v>105</v>
      </c>
      <c r="C25" s="140"/>
      <c r="D25" s="140"/>
      <c r="E25" s="165" t="s">
        <v>383</v>
      </c>
      <c r="F25" s="165" t="s">
        <v>383</v>
      </c>
      <c r="G25" s="202"/>
      <c r="H25" s="147"/>
      <c r="I25" s="147"/>
      <c r="J25" s="147"/>
      <c r="K25" s="147"/>
      <c r="L25" s="147"/>
      <c r="M25" s="146">
        <v>4</v>
      </c>
      <c r="N25" s="140" t="s">
        <v>106</v>
      </c>
      <c r="O25" s="140"/>
      <c r="P25" s="140"/>
      <c r="Q25" s="140"/>
      <c r="R25" s="140"/>
      <c r="S25" s="140" t="s">
        <v>100</v>
      </c>
      <c r="T25" s="524">
        <f>Bill!W11</f>
        <v>0</v>
      </c>
      <c r="U25" s="524"/>
      <c r="V25" s="524"/>
      <c r="W25" s="524"/>
      <c r="X25" s="525"/>
    </row>
    <row r="26" spans="1:24" ht="6" customHeight="1">
      <c r="A26" s="564"/>
      <c r="B26" s="154"/>
      <c r="C26" s="140"/>
      <c r="D26" s="140"/>
      <c r="E26" s="202"/>
      <c r="F26" s="202"/>
      <c r="G26" s="202"/>
      <c r="H26" s="147"/>
      <c r="I26" s="147"/>
      <c r="J26" s="147"/>
      <c r="K26" s="147"/>
      <c r="L26" s="147"/>
      <c r="M26" s="146"/>
      <c r="N26" s="140"/>
      <c r="O26" s="140"/>
      <c r="P26" s="140"/>
      <c r="Q26" s="140"/>
      <c r="R26" s="140"/>
      <c r="S26" s="140"/>
      <c r="T26" s="167"/>
      <c r="U26" s="167"/>
      <c r="V26" s="167"/>
      <c r="W26" s="167"/>
      <c r="X26" s="168"/>
    </row>
    <row r="27" spans="1:24" ht="24" customHeight="1">
      <c r="A27" s="564"/>
      <c r="B27" s="154" t="s">
        <v>107</v>
      </c>
      <c r="C27" s="140"/>
      <c r="D27" s="140"/>
      <c r="E27" s="165">
        <v>0</v>
      </c>
      <c r="F27" s="165">
        <f>DATA!T170</f>
        <v>5</v>
      </c>
      <c r="G27" s="202"/>
      <c r="H27" s="526" t="str">
        <f>DATA!P170</f>
        <v>Teaching Grant to Zilla Praja Parishads</v>
      </c>
      <c r="I27" s="526"/>
      <c r="J27" s="526"/>
      <c r="K27" s="526"/>
      <c r="L27" s="527"/>
      <c r="M27" s="146">
        <v>5</v>
      </c>
      <c r="N27" s="140" t="s">
        <v>108</v>
      </c>
      <c r="O27" s="140"/>
      <c r="P27" s="140"/>
      <c r="Q27" s="140"/>
      <c r="R27" s="140"/>
      <c r="S27" s="140" t="s">
        <v>100</v>
      </c>
      <c r="T27" s="514"/>
      <c r="U27" s="514"/>
      <c r="V27" s="514"/>
      <c r="W27" s="514"/>
      <c r="X27" s="515"/>
    </row>
    <row r="28" spans="1:24" ht="6" customHeight="1">
      <c r="A28" s="564"/>
      <c r="B28" s="154"/>
      <c r="C28" s="140"/>
      <c r="D28" s="140"/>
      <c r="E28" s="202"/>
      <c r="F28" s="202"/>
      <c r="G28" s="202"/>
      <c r="H28" s="147"/>
      <c r="I28" s="147"/>
      <c r="J28" s="147"/>
      <c r="K28" s="147"/>
      <c r="L28" s="147"/>
      <c r="M28" s="146"/>
      <c r="N28" s="140"/>
      <c r="O28" s="140"/>
      <c r="P28" s="140"/>
      <c r="Q28" s="140"/>
      <c r="R28" s="140"/>
      <c r="S28" s="140"/>
      <c r="T28" s="167"/>
      <c r="U28" s="167"/>
      <c r="V28" s="167"/>
      <c r="W28" s="167"/>
      <c r="X28" s="168"/>
    </row>
    <row r="29" spans="1:24" ht="15">
      <c r="A29" s="564"/>
      <c r="B29" s="154" t="s">
        <v>109</v>
      </c>
      <c r="C29" s="140"/>
      <c r="D29" s="140"/>
      <c r="E29" s="165">
        <v>0</v>
      </c>
      <c r="F29" s="165">
        <v>1</v>
      </c>
      <c r="G29" s="165">
        <v>0</v>
      </c>
      <c r="H29" s="147" t="s">
        <v>110</v>
      </c>
      <c r="I29" s="147"/>
      <c r="J29" s="147"/>
      <c r="K29" s="147"/>
      <c r="L29" s="147"/>
      <c r="M29" s="146">
        <v>6</v>
      </c>
      <c r="N29" s="166" t="s">
        <v>111</v>
      </c>
      <c r="O29" s="140"/>
      <c r="P29" s="140"/>
      <c r="Q29" s="140"/>
      <c r="R29" s="140"/>
      <c r="S29" s="140" t="s">
        <v>100</v>
      </c>
      <c r="T29" s="514"/>
      <c r="U29" s="514"/>
      <c r="V29" s="514"/>
      <c r="W29" s="514"/>
      <c r="X29" s="515"/>
    </row>
    <row r="30" spans="1:24" ht="15">
      <c r="A30" s="564"/>
      <c r="B30" s="173"/>
      <c r="C30" s="149"/>
      <c r="D30" s="149"/>
      <c r="E30" s="174"/>
      <c r="F30" s="174"/>
      <c r="G30" s="174"/>
      <c r="H30" s="174"/>
      <c r="I30" s="174"/>
      <c r="J30" s="174"/>
      <c r="K30" s="174"/>
      <c r="L30" s="175"/>
      <c r="M30" s="146">
        <v>7</v>
      </c>
      <c r="N30" s="140" t="s">
        <v>112</v>
      </c>
      <c r="O30" s="140"/>
      <c r="P30" s="140"/>
      <c r="Q30" s="140"/>
      <c r="R30" s="140"/>
      <c r="S30" s="140" t="s">
        <v>100</v>
      </c>
      <c r="T30" s="514"/>
      <c r="U30" s="514"/>
      <c r="V30" s="514"/>
      <c r="W30" s="514"/>
      <c r="X30" s="515"/>
    </row>
    <row r="31" spans="1:24" ht="15">
      <c r="A31" s="564"/>
      <c r="B31" s="154"/>
      <c r="C31" s="140"/>
      <c r="D31" s="140"/>
      <c r="E31" s="140"/>
      <c r="F31" s="140"/>
      <c r="G31" s="140"/>
      <c r="H31" s="140"/>
      <c r="I31" s="140"/>
      <c r="J31" s="140"/>
      <c r="K31" s="140"/>
      <c r="L31" s="140"/>
      <c r="M31" s="146">
        <v>8</v>
      </c>
      <c r="N31" s="140" t="s">
        <v>113</v>
      </c>
      <c r="O31" s="140"/>
      <c r="P31" s="140"/>
      <c r="Q31" s="140"/>
      <c r="R31" s="140"/>
      <c r="S31" s="140" t="s">
        <v>100</v>
      </c>
      <c r="T31" s="514"/>
      <c r="U31" s="514"/>
      <c r="V31" s="514"/>
      <c r="W31" s="514"/>
      <c r="X31" s="515"/>
    </row>
    <row r="32" spans="1:24" ht="15">
      <c r="A32" s="564"/>
      <c r="B32" s="172" t="s">
        <v>114</v>
      </c>
      <c r="C32" s="140"/>
      <c r="D32" s="140"/>
      <c r="E32" s="140"/>
      <c r="F32" s="165" t="s">
        <v>115</v>
      </c>
      <c r="G32" s="166" t="s">
        <v>116</v>
      </c>
      <c r="H32" s="140"/>
      <c r="I32" s="140"/>
      <c r="J32" s="140"/>
      <c r="K32" s="165" t="s">
        <v>117</v>
      </c>
      <c r="L32" s="140"/>
      <c r="M32" s="146">
        <v>9</v>
      </c>
      <c r="N32" s="140" t="s">
        <v>118</v>
      </c>
      <c r="O32" s="140"/>
      <c r="P32" s="140"/>
      <c r="Q32" s="140"/>
      <c r="R32" s="140"/>
      <c r="S32" s="140" t="s">
        <v>100</v>
      </c>
      <c r="T32" s="514"/>
      <c r="U32" s="514"/>
      <c r="V32" s="514"/>
      <c r="W32" s="514"/>
      <c r="X32" s="515"/>
    </row>
    <row r="33" spans="1:24" ht="15">
      <c r="A33" s="564"/>
      <c r="B33" s="172" t="s">
        <v>119</v>
      </c>
      <c r="C33" s="140"/>
      <c r="D33" s="140"/>
      <c r="E33" s="140"/>
      <c r="F33" s="140"/>
      <c r="G33" s="140"/>
      <c r="H33" s="140"/>
      <c r="I33" s="140"/>
      <c r="J33" s="140"/>
      <c r="K33" s="140"/>
      <c r="L33" s="140"/>
      <c r="M33" s="146">
        <v>10</v>
      </c>
      <c r="N33" s="140" t="s">
        <v>120</v>
      </c>
      <c r="O33" s="140"/>
      <c r="P33" s="140"/>
      <c r="Q33" s="140"/>
      <c r="R33" s="140"/>
      <c r="S33" s="140" t="s">
        <v>100</v>
      </c>
      <c r="T33" s="514"/>
      <c r="U33" s="514"/>
      <c r="V33" s="514"/>
      <c r="W33" s="514"/>
      <c r="X33" s="515"/>
    </row>
    <row r="34" spans="1:24" ht="15">
      <c r="A34" s="564"/>
      <c r="B34" s="172" t="s">
        <v>121</v>
      </c>
      <c r="C34" s="140"/>
      <c r="D34" s="140"/>
      <c r="E34" s="140"/>
      <c r="F34" s="165">
        <v>2</v>
      </c>
      <c r="G34" s="165">
        <v>2</v>
      </c>
      <c r="H34" s="165">
        <v>0</v>
      </c>
      <c r="I34" s="165">
        <v>2</v>
      </c>
      <c r="J34" s="140"/>
      <c r="K34" s="140"/>
      <c r="L34" s="140"/>
      <c r="M34" s="146">
        <v>11</v>
      </c>
      <c r="N34" s="140" t="s">
        <v>122</v>
      </c>
      <c r="O34" s="140"/>
      <c r="P34" s="140"/>
      <c r="Q34" s="140"/>
      <c r="R34" s="140"/>
      <c r="S34" s="140" t="s">
        <v>100</v>
      </c>
      <c r="T34" s="514"/>
      <c r="U34" s="514"/>
      <c r="V34" s="514"/>
      <c r="W34" s="514"/>
      <c r="X34" s="515"/>
    </row>
    <row r="35" spans="1:24" ht="15">
      <c r="A35" s="564"/>
      <c r="B35" s="173"/>
      <c r="C35" s="149"/>
      <c r="D35" s="149"/>
      <c r="E35" s="149"/>
      <c r="F35" s="149"/>
      <c r="G35" s="149"/>
      <c r="H35" s="149"/>
      <c r="I35" s="149"/>
      <c r="J35" s="149"/>
      <c r="K35" s="149"/>
      <c r="L35" s="176"/>
      <c r="M35" s="146">
        <v>12</v>
      </c>
      <c r="N35" s="177" t="s">
        <v>123</v>
      </c>
      <c r="O35" s="140"/>
      <c r="P35" s="140"/>
      <c r="Q35" s="140"/>
      <c r="R35" s="140"/>
      <c r="S35" s="140" t="s">
        <v>100</v>
      </c>
      <c r="T35" s="537"/>
      <c r="U35" s="537"/>
      <c r="V35" s="537"/>
      <c r="W35" s="537"/>
      <c r="X35" s="538"/>
    </row>
    <row r="36" spans="1:24" ht="15.75" customHeight="1">
      <c r="A36" s="564"/>
      <c r="B36" s="154"/>
      <c r="C36" s="140"/>
      <c r="D36" s="140"/>
      <c r="E36" s="140"/>
      <c r="F36" s="140"/>
      <c r="G36" s="140"/>
      <c r="H36" s="140"/>
      <c r="I36" s="140"/>
      <c r="J36" s="140"/>
      <c r="K36" s="140"/>
      <c r="L36" s="140"/>
      <c r="M36" s="146">
        <v>13</v>
      </c>
      <c r="N36" s="177" t="s">
        <v>124</v>
      </c>
      <c r="O36" s="140"/>
      <c r="P36" s="140"/>
      <c r="Q36" s="140"/>
      <c r="R36" s="140"/>
      <c r="S36" s="140" t="s">
        <v>100</v>
      </c>
      <c r="T36" s="514"/>
      <c r="U36" s="514"/>
      <c r="V36" s="514"/>
      <c r="W36" s="514"/>
      <c r="X36" s="515"/>
    </row>
    <row r="37" spans="1:24" ht="15">
      <c r="A37" s="564"/>
      <c r="B37" s="172" t="s">
        <v>125</v>
      </c>
      <c r="C37" s="140"/>
      <c r="D37" s="140"/>
      <c r="E37" s="140"/>
      <c r="F37" s="140"/>
      <c r="G37" s="140" t="s">
        <v>100</v>
      </c>
      <c r="H37" s="512">
        <f>Bill!Q11</f>
        <v>1908</v>
      </c>
      <c r="I37" s="512"/>
      <c r="J37" s="512"/>
      <c r="K37" s="512"/>
      <c r="L37" s="513"/>
      <c r="M37" s="140">
        <v>14</v>
      </c>
      <c r="N37" s="140" t="s">
        <v>126</v>
      </c>
      <c r="O37" s="140"/>
      <c r="P37" s="140"/>
      <c r="Q37" s="140"/>
      <c r="R37" s="140"/>
      <c r="S37" s="140" t="s">
        <v>100</v>
      </c>
      <c r="T37" s="514"/>
      <c r="U37" s="514"/>
      <c r="V37" s="514"/>
      <c r="W37" s="514"/>
      <c r="X37" s="515"/>
    </row>
    <row r="38" spans="1:24" ht="15">
      <c r="A38" s="564"/>
      <c r="B38" s="172" t="s">
        <v>127</v>
      </c>
      <c r="C38" s="140"/>
      <c r="D38" s="140"/>
      <c r="E38" s="140"/>
      <c r="F38" s="140"/>
      <c r="G38" s="140" t="s">
        <v>100</v>
      </c>
      <c r="H38" s="528"/>
      <c r="I38" s="528"/>
      <c r="J38" s="528"/>
      <c r="K38" s="528"/>
      <c r="L38" s="529"/>
      <c r="M38" s="140">
        <v>15</v>
      </c>
      <c r="N38" s="140" t="s">
        <v>128</v>
      </c>
      <c r="O38" s="140"/>
      <c r="P38" s="140"/>
      <c r="Q38" s="140"/>
      <c r="R38" s="140"/>
      <c r="S38" s="140" t="s">
        <v>100</v>
      </c>
      <c r="T38" s="514"/>
      <c r="U38" s="514"/>
      <c r="V38" s="514"/>
      <c r="W38" s="514"/>
      <c r="X38" s="515"/>
    </row>
    <row r="39" spans="1:24" ht="15">
      <c r="A39" s="564"/>
      <c r="B39" s="172" t="s">
        <v>129</v>
      </c>
      <c r="C39" s="140"/>
      <c r="D39" s="140"/>
      <c r="E39" s="140"/>
      <c r="F39" s="140"/>
      <c r="G39" s="140" t="s">
        <v>100</v>
      </c>
      <c r="H39" s="551">
        <f>Bill!R11</f>
        <v>1208</v>
      </c>
      <c r="I39" s="551"/>
      <c r="J39" s="551"/>
      <c r="K39" s="551"/>
      <c r="L39" s="552"/>
      <c r="M39" s="140">
        <v>16</v>
      </c>
      <c r="N39" s="140" t="s">
        <v>130</v>
      </c>
      <c r="O39" s="140"/>
      <c r="P39" s="140"/>
      <c r="Q39" s="140"/>
      <c r="R39" s="140"/>
      <c r="S39" s="140" t="s">
        <v>100</v>
      </c>
      <c r="T39" s="514"/>
      <c r="U39" s="514"/>
      <c r="V39" s="514"/>
      <c r="W39" s="514"/>
      <c r="X39" s="515"/>
    </row>
    <row r="40" spans="1:24" ht="15">
      <c r="A40" s="564"/>
      <c r="B40" s="172" t="s">
        <v>131</v>
      </c>
      <c r="C40" s="140"/>
      <c r="D40" s="140"/>
      <c r="E40" s="140"/>
      <c r="F40" s="140"/>
      <c r="G40" s="140" t="s">
        <v>100</v>
      </c>
      <c r="H40" s="512">
        <f>Bill!T11</f>
        <v>514</v>
      </c>
      <c r="I40" s="512"/>
      <c r="J40" s="512"/>
      <c r="K40" s="512"/>
      <c r="L40" s="513"/>
      <c r="M40" s="140">
        <v>17</v>
      </c>
      <c r="N40" s="140" t="s">
        <v>132</v>
      </c>
      <c r="O40" s="140"/>
      <c r="P40" s="140"/>
      <c r="Q40" s="140"/>
      <c r="R40" s="140"/>
      <c r="S40" s="140" t="s">
        <v>100</v>
      </c>
      <c r="T40" s="514"/>
      <c r="U40" s="514"/>
      <c r="V40" s="514"/>
      <c r="W40" s="514"/>
      <c r="X40" s="515"/>
    </row>
    <row r="41" spans="1:24" ht="15">
      <c r="A41" s="564"/>
      <c r="B41" s="172" t="s">
        <v>133</v>
      </c>
      <c r="C41" s="140"/>
      <c r="D41" s="140"/>
      <c r="E41" s="140"/>
      <c r="F41" s="140"/>
      <c r="G41" s="140" t="s">
        <v>100</v>
      </c>
      <c r="H41" s="528">
        <f>Bill!S11</f>
        <v>229</v>
      </c>
      <c r="I41" s="528"/>
      <c r="J41" s="528"/>
      <c r="K41" s="528"/>
      <c r="L41" s="529"/>
      <c r="M41" s="140">
        <v>18</v>
      </c>
      <c r="N41" s="177" t="s">
        <v>134</v>
      </c>
      <c r="O41" s="140"/>
      <c r="P41" s="140"/>
      <c r="Q41" s="140"/>
      <c r="R41" s="140"/>
      <c r="S41" s="140" t="s">
        <v>100</v>
      </c>
      <c r="T41" s="514"/>
      <c r="U41" s="514"/>
      <c r="V41" s="514"/>
      <c r="W41" s="514"/>
      <c r="X41" s="515"/>
    </row>
    <row r="42" spans="1:24" ht="15">
      <c r="A42" s="564"/>
      <c r="B42" s="154"/>
      <c r="C42" s="140"/>
      <c r="D42" s="140"/>
      <c r="E42" s="140"/>
      <c r="F42" s="140"/>
      <c r="G42" s="140" t="s">
        <v>100</v>
      </c>
      <c r="H42" s="537"/>
      <c r="I42" s="537"/>
      <c r="J42" s="537"/>
      <c r="K42" s="537"/>
      <c r="L42" s="542"/>
      <c r="M42" s="140">
        <v>19</v>
      </c>
      <c r="N42" s="140" t="s">
        <v>135</v>
      </c>
      <c r="O42" s="140"/>
      <c r="P42" s="140"/>
      <c r="Q42" s="140"/>
      <c r="R42" s="140"/>
      <c r="S42" s="140" t="s">
        <v>100</v>
      </c>
      <c r="T42" s="514"/>
      <c r="U42" s="514"/>
      <c r="V42" s="514"/>
      <c r="W42" s="514"/>
      <c r="X42" s="515"/>
    </row>
    <row r="43" spans="1:24" ht="15">
      <c r="A43" s="564"/>
      <c r="B43" s="154"/>
      <c r="C43" s="140"/>
      <c r="D43" s="140"/>
      <c r="E43" s="140"/>
      <c r="F43" s="140"/>
      <c r="G43" s="140" t="s">
        <v>100</v>
      </c>
      <c r="H43" s="537"/>
      <c r="I43" s="537"/>
      <c r="J43" s="537"/>
      <c r="K43" s="537"/>
      <c r="L43" s="542"/>
      <c r="M43" s="140">
        <v>20</v>
      </c>
      <c r="N43" s="140" t="s">
        <v>491</v>
      </c>
      <c r="O43" s="140"/>
      <c r="P43" s="140"/>
      <c r="Q43" s="140"/>
      <c r="R43" s="140"/>
      <c r="S43" s="140" t="s">
        <v>100</v>
      </c>
      <c r="T43" s="524">
        <f>Bill!V11</f>
        <v>0</v>
      </c>
      <c r="U43" s="524"/>
      <c r="V43" s="524"/>
      <c r="W43" s="524"/>
      <c r="X43" s="525"/>
    </row>
    <row r="44" spans="1:24" ht="15">
      <c r="A44" s="564"/>
      <c r="B44" s="154"/>
      <c r="C44" s="140"/>
      <c r="D44" s="178" t="e">
        <v>#REF!</v>
      </c>
      <c r="E44" s="140"/>
      <c r="F44" s="140"/>
      <c r="G44" s="140" t="s">
        <v>100</v>
      </c>
      <c r="H44" s="575"/>
      <c r="I44" s="575"/>
      <c r="J44" s="575"/>
      <c r="K44" s="575"/>
      <c r="L44" s="576"/>
      <c r="M44" s="140"/>
      <c r="N44" s="140"/>
      <c r="O44" s="140"/>
      <c r="P44" s="140"/>
      <c r="Q44" s="140"/>
      <c r="R44" s="140"/>
      <c r="S44" s="140" t="s">
        <v>100</v>
      </c>
      <c r="T44" s="524" t="str">
        <f>IF('[2]BILL'!AF92=0," ",'[2]BILL'!AF92)</f>
        <v> </v>
      </c>
      <c r="U44" s="524"/>
      <c r="V44" s="524"/>
      <c r="W44" s="524"/>
      <c r="X44" s="525"/>
    </row>
    <row r="45" spans="1:24" ht="15">
      <c r="A45" s="564"/>
      <c r="B45" s="154"/>
      <c r="C45" s="140"/>
      <c r="D45" s="140"/>
      <c r="E45" s="140"/>
      <c r="F45" s="140"/>
      <c r="G45" s="140" t="s">
        <v>100</v>
      </c>
      <c r="H45" s="537"/>
      <c r="I45" s="537"/>
      <c r="J45" s="537"/>
      <c r="K45" s="537"/>
      <c r="L45" s="542"/>
      <c r="M45" s="179" t="s">
        <v>136</v>
      </c>
      <c r="N45" s="179"/>
      <c r="O45" s="179"/>
      <c r="P45" s="179"/>
      <c r="Q45" s="179"/>
      <c r="R45" s="179"/>
      <c r="S45" s="179" t="s">
        <v>100</v>
      </c>
      <c r="T45" s="555">
        <f>SUM(T19:T44)</f>
        <v>0</v>
      </c>
      <c r="U45" s="555"/>
      <c r="V45" s="555"/>
      <c r="W45" s="555"/>
      <c r="X45" s="556"/>
    </row>
    <row r="46" spans="1:25" ht="15">
      <c r="A46" s="564"/>
      <c r="B46" s="154" t="s">
        <v>137</v>
      </c>
      <c r="C46" s="140"/>
      <c r="D46" s="140"/>
      <c r="E46" s="140"/>
      <c r="F46" s="140"/>
      <c r="G46" s="140" t="s">
        <v>100</v>
      </c>
      <c r="H46" s="551">
        <f>SUM(H37:L45)</f>
        <v>3859</v>
      </c>
      <c r="I46" s="551"/>
      <c r="J46" s="551"/>
      <c r="K46" s="551"/>
      <c r="L46" s="552"/>
      <c r="M46" s="166" t="s">
        <v>138</v>
      </c>
      <c r="N46" s="140"/>
      <c r="O46" s="140"/>
      <c r="P46" s="140"/>
      <c r="Q46" s="140"/>
      <c r="R46" s="140"/>
      <c r="S46" s="180" t="s">
        <v>100</v>
      </c>
      <c r="T46" s="151"/>
      <c r="U46" s="151"/>
      <c r="V46" s="151"/>
      <c r="W46" s="151"/>
      <c r="X46" s="152"/>
      <c r="Y46" s="3"/>
    </row>
    <row r="47" spans="1:25" ht="15">
      <c r="A47" s="564"/>
      <c r="B47" s="154" t="s">
        <v>139</v>
      </c>
      <c r="C47" s="140"/>
      <c r="D47" s="140"/>
      <c r="E47" s="140"/>
      <c r="F47" s="140"/>
      <c r="G47" s="140" t="s">
        <v>100</v>
      </c>
      <c r="H47" s="551">
        <f>T45</f>
        <v>0</v>
      </c>
      <c r="I47" s="551"/>
      <c r="J47" s="551"/>
      <c r="K47" s="551"/>
      <c r="L47" s="552"/>
      <c r="M47" s="140"/>
      <c r="N47" s="140"/>
      <c r="O47" s="140"/>
      <c r="P47" s="140"/>
      <c r="Q47" s="140"/>
      <c r="R47" s="140"/>
      <c r="S47" s="140"/>
      <c r="T47" s="140"/>
      <c r="U47" s="140"/>
      <c r="V47" s="140"/>
      <c r="W47" s="140"/>
      <c r="X47" s="155"/>
      <c r="Y47" s="3"/>
    </row>
    <row r="48" spans="1:25" ht="15">
      <c r="A48" s="564"/>
      <c r="B48" s="154" t="s">
        <v>140</v>
      </c>
      <c r="C48" s="140"/>
      <c r="D48" s="140"/>
      <c r="E48" s="140"/>
      <c r="F48" s="140"/>
      <c r="G48" s="140" t="s">
        <v>100</v>
      </c>
      <c r="H48" s="512">
        <f>H46-H47</f>
        <v>3859</v>
      </c>
      <c r="I48" s="512"/>
      <c r="J48" s="512"/>
      <c r="K48" s="512"/>
      <c r="L48" s="513"/>
      <c r="M48" s="140"/>
      <c r="N48" s="140"/>
      <c r="O48" s="181"/>
      <c r="P48" s="140"/>
      <c r="Q48" s="140"/>
      <c r="R48" s="140"/>
      <c r="S48" s="140"/>
      <c r="T48" s="140"/>
      <c r="U48" s="140"/>
      <c r="V48" s="140"/>
      <c r="W48" s="140"/>
      <c r="X48" s="155"/>
      <c r="Y48" s="3"/>
    </row>
    <row r="49" spans="1:25" ht="15">
      <c r="A49" s="564"/>
      <c r="B49" s="154" t="s">
        <v>141</v>
      </c>
      <c r="C49" s="140"/>
      <c r="D49" s="140"/>
      <c r="E49" s="140"/>
      <c r="F49" s="140"/>
      <c r="G49" s="140"/>
      <c r="H49" s="182"/>
      <c r="I49" s="182"/>
      <c r="J49" s="182"/>
      <c r="K49" s="182"/>
      <c r="L49" s="183"/>
      <c r="M49" s="140"/>
      <c r="N49" s="140"/>
      <c r="O49" s="140"/>
      <c r="P49" s="140"/>
      <c r="Q49" s="140"/>
      <c r="R49" s="140"/>
      <c r="S49" s="140"/>
      <c r="T49" s="140"/>
      <c r="U49" s="140"/>
      <c r="V49" s="140"/>
      <c r="W49" s="140"/>
      <c r="X49" s="155"/>
      <c r="Y49" s="3"/>
    </row>
    <row r="50" spans="1:25" ht="2.25" customHeight="1">
      <c r="A50" s="564"/>
      <c r="B50" s="558" t="str">
        <f>CONCATENATE(DATA!AL141," only")</f>
        <v>  Three Thousands Eight Hundred and Fifty Nine rupees only  only</v>
      </c>
      <c r="C50" s="559"/>
      <c r="D50" s="559"/>
      <c r="E50" s="559"/>
      <c r="F50" s="559"/>
      <c r="G50" s="559"/>
      <c r="H50" s="559"/>
      <c r="I50" s="559"/>
      <c r="J50" s="559"/>
      <c r="K50" s="559"/>
      <c r="L50" s="560"/>
      <c r="M50" s="184"/>
      <c r="N50" s="184"/>
      <c r="O50" s="184"/>
      <c r="P50" s="184"/>
      <c r="Q50" s="184"/>
      <c r="R50" s="185"/>
      <c r="S50" s="185"/>
      <c r="T50" s="185"/>
      <c r="U50" s="185"/>
      <c r="V50" s="185"/>
      <c r="W50" s="185"/>
      <c r="X50" s="186"/>
      <c r="Y50" s="3"/>
    </row>
    <row r="51" spans="1:25" ht="15">
      <c r="A51" s="564"/>
      <c r="B51" s="561"/>
      <c r="C51" s="562"/>
      <c r="D51" s="562"/>
      <c r="E51" s="562"/>
      <c r="F51" s="562"/>
      <c r="G51" s="562"/>
      <c r="H51" s="562"/>
      <c r="I51" s="562"/>
      <c r="J51" s="562"/>
      <c r="K51" s="562"/>
      <c r="L51" s="563"/>
      <c r="M51" s="148"/>
      <c r="N51" s="149"/>
      <c r="O51" s="149"/>
      <c r="P51" s="149"/>
      <c r="Q51" s="149"/>
      <c r="R51" s="149"/>
      <c r="S51" s="557" t="s">
        <v>142</v>
      </c>
      <c r="T51" s="557"/>
      <c r="U51" s="557"/>
      <c r="V51" s="557"/>
      <c r="W51" s="557"/>
      <c r="X51" s="187"/>
      <c r="Y51" s="3"/>
    </row>
    <row r="52" spans="1:25" ht="15">
      <c r="A52" s="564"/>
      <c r="B52" s="565" t="s">
        <v>143</v>
      </c>
      <c r="C52" s="566"/>
      <c r="D52" s="566"/>
      <c r="E52" s="566"/>
      <c r="F52" s="566"/>
      <c r="G52" s="566"/>
      <c r="H52" s="566"/>
      <c r="I52" s="566"/>
      <c r="J52" s="566"/>
      <c r="K52" s="566"/>
      <c r="L52" s="566"/>
      <c r="M52" s="566"/>
      <c r="N52" s="566"/>
      <c r="O52" s="566"/>
      <c r="P52" s="566"/>
      <c r="Q52" s="566"/>
      <c r="R52" s="566"/>
      <c r="S52" s="566"/>
      <c r="T52" s="566"/>
      <c r="U52" s="566"/>
      <c r="V52" s="566"/>
      <c r="W52" s="566"/>
      <c r="X52" s="567"/>
      <c r="Y52" s="3"/>
    </row>
    <row r="53" spans="1:25" ht="15">
      <c r="A53" s="564"/>
      <c r="B53" s="154" t="s">
        <v>46</v>
      </c>
      <c r="C53" s="140" t="s">
        <v>144</v>
      </c>
      <c r="D53" s="140"/>
      <c r="E53" s="140"/>
      <c r="F53" s="140"/>
      <c r="G53" s="140"/>
      <c r="H53" s="140" t="s">
        <v>492</v>
      </c>
      <c r="I53" s="140"/>
      <c r="J53" s="140"/>
      <c r="K53" s="140"/>
      <c r="L53" s="140"/>
      <c r="M53" s="140"/>
      <c r="N53" s="140"/>
      <c r="O53" s="140"/>
      <c r="P53" s="140"/>
      <c r="Q53" s="140"/>
      <c r="R53" s="140"/>
      <c r="S53" s="140"/>
      <c r="T53" s="140"/>
      <c r="U53" s="140"/>
      <c r="V53" s="140"/>
      <c r="W53" s="140"/>
      <c r="X53" s="155"/>
      <c r="Y53" s="3"/>
    </row>
    <row r="54" spans="1:25" ht="15">
      <c r="A54" s="564"/>
      <c r="B54" s="188" t="s">
        <v>145</v>
      </c>
      <c r="C54" s="140"/>
      <c r="D54" s="140"/>
      <c r="E54" s="140"/>
      <c r="F54" s="140"/>
      <c r="G54" s="140"/>
      <c r="H54" s="140"/>
      <c r="I54" s="140"/>
      <c r="J54" s="140"/>
      <c r="K54" s="140"/>
      <c r="L54" s="140"/>
      <c r="M54" s="140"/>
      <c r="N54" s="140"/>
      <c r="O54" s="140"/>
      <c r="P54" s="140"/>
      <c r="Q54" s="140"/>
      <c r="R54" s="140"/>
      <c r="S54" s="140"/>
      <c r="T54" s="140"/>
      <c r="U54" s="140"/>
      <c r="V54" s="140"/>
      <c r="W54" s="140"/>
      <c r="X54" s="155"/>
      <c r="Y54" s="3"/>
    </row>
    <row r="55" spans="1:25" ht="15">
      <c r="A55" s="564"/>
      <c r="B55" s="568" t="s">
        <v>146</v>
      </c>
      <c r="C55" s="569"/>
      <c r="D55" s="569"/>
      <c r="E55" s="569"/>
      <c r="F55" s="569"/>
      <c r="G55" s="569"/>
      <c r="H55" s="569"/>
      <c r="I55" s="569"/>
      <c r="J55" s="569"/>
      <c r="K55" s="569"/>
      <c r="L55" s="569"/>
      <c r="M55" s="569"/>
      <c r="N55" s="569"/>
      <c r="O55" s="569"/>
      <c r="P55" s="569"/>
      <c r="Q55" s="569"/>
      <c r="R55" s="569"/>
      <c r="S55" s="569"/>
      <c r="T55" s="569"/>
      <c r="U55" s="569"/>
      <c r="V55" s="569"/>
      <c r="W55" s="569"/>
      <c r="X55" s="570"/>
      <c r="Y55" s="3"/>
    </row>
    <row r="56" spans="1:25" ht="15">
      <c r="A56" s="553">
        <f>H48+1</f>
        <v>3860</v>
      </c>
      <c r="B56" s="188" t="s">
        <v>147</v>
      </c>
      <c r="C56" s="140"/>
      <c r="D56" s="140"/>
      <c r="E56" s="140"/>
      <c r="F56" s="140"/>
      <c r="G56" s="140"/>
      <c r="H56" s="140"/>
      <c r="I56" s="140"/>
      <c r="J56" s="140"/>
      <c r="K56" s="140"/>
      <c r="L56" s="140"/>
      <c r="M56" s="140"/>
      <c r="N56" s="140"/>
      <c r="O56" s="140"/>
      <c r="P56" s="140"/>
      <c r="Q56" s="140"/>
      <c r="R56" s="140"/>
      <c r="S56" s="140"/>
      <c r="T56" s="140"/>
      <c r="U56" s="140"/>
      <c r="V56" s="140"/>
      <c r="W56" s="140"/>
      <c r="X56" s="155"/>
      <c r="Y56" s="3"/>
    </row>
    <row r="57" spans="1:25" ht="15">
      <c r="A57" s="554"/>
      <c r="B57" s="154"/>
      <c r="C57" s="140"/>
      <c r="D57" s="140"/>
      <c r="E57" s="140"/>
      <c r="F57" s="140"/>
      <c r="G57" s="140"/>
      <c r="H57" s="140"/>
      <c r="I57" s="140"/>
      <c r="J57" s="140"/>
      <c r="K57" s="140"/>
      <c r="L57" s="140"/>
      <c r="M57" s="140"/>
      <c r="N57" s="140"/>
      <c r="O57" s="140"/>
      <c r="P57" s="140"/>
      <c r="Q57" s="140"/>
      <c r="R57" s="140"/>
      <c r="S57" s="140"/>
      <c r="T57" s="140"/>
      <c r="U57" s="140"/>
      <c r="V57" s="140"/>
      <c r="W57" s="140"/>
      <c r="X57" s="155"/>
      <c r="Y57" s="3"/>
    </row>
    <row r="58" spans="1:25" ht="15">
      <c r="A58" s="554"/>
      <c r="B58" s="154"/>
      <c r="C58" s="140"/>
      <c r="D58" s="140"/>
      <c r="E58" s="166" t="s">
        <v>148</v>
      </c>
      <c r="F58" s="140"/>
      <c r="G58" s="140"/>
      <c r="H58" s="140"/>
      <c r="I58" s="140"/>
      <c r="J58" s="140"/>
      <c r="K58" s="140"/>
      <c r="L58" s="140"/>
      <c r="M58" s="140"/>
      <c r="N58" s="140"/>
      <c r="O58" s="140"/>
      <c r="P58" s="140"/>
      <c r="Q58" s="140"/>
      <c r="R58" s="140"/>
      <c r="S58" s="140"/>
      <c r="T58" s="140"/>
      <c r="U58" s="140"/>
      <c r="V58" s="140"/>
      <c r="W58" s="140"/>
      <c r="X58" s="155"/>
      <c r="Y58" s="3"/>
    </row>
    <row r="59" spans="1:25" ht="15">
      <c r="A59" s="554"/>
      <c r="B59" s="154"/>
      <c r="C59" s="140"/>
      <c r="D59" s="140"/>
      <c r="E59" s="166" t="s">
        <v>149</v>
      </c>
      <c r="F59" s="140"/>
      <c r="G59" s="140"/>
      <c r="H59" s="140"/>
      <c r="I59" s="140"/>
      <c r="J59" s="140"/>
      <c r="K59" s="140"/>
      <c r="L59" s="140"/>
      <c r="M59" s="140"/>
      <c r="N59" s="140"/>
      <c r="O59" s="140"/>
      <c r="P59" s="140"/>
      <c r="Q59" s="140"/>
      <c r="R59" s="140"/>
      <c r="S59" s="140"/>
      <c r="T59" s="140"/>
      <c r="U59" s="140"/>
      <c r="V59" s="140"/>
      <c r="W59" s="140"/>
      <c r="X59" s="155"/>
      <c r="Y59" s="3"/>
    </row>
    <row r="60" spans="1:25" ht="15">
      <c r="A60" s="554"/>
      <c r="B60" s="154"/>
      <c r="C60" s="140"/>
      <c r="D60" s="140"/>
      <c r="E60" s="140"/>
      <c r="F60" s="140"/>
      <c r="G60" s="140"/>
      <c r="H60" s="140"/>
      <c r="I60" s="140"/>
      <c r="J60" s="140"/>
      <c r="K60" s="140"/>
      <c r="L60" s="140"/>
      <c r="M60" s="140"/>
      <c r="N60" s="140"/>
      <c r="O60" s="140"/>
      <c r="P60" s="140"/>
      <c r="Q60" s="140"/>
      <c r="R60" s="140"/>
      <c r="S60" s="140"/>
      <c r="T60" s="140"/>
      <c r="U60" s="140"/>
      <c r="V60" s="140"/>
      <c r="W60" s="140"/>
      <c r="X60" s="155"/>
      <c r="Y60" s="3"/>
    </row>
    <row r="61" spans="1:25" ht="19.5" thickBot="1">
      <c r="A61" s="189" t="s">
        <v>150</v>
      </c>
      <c r="B61" s="190"/>
      <c r="C61" s="191"/>
      <c r="D61" s="191"/>
      <c r="E61" s="191"/>
      <c r="F61" s="191"/>
      <c r="G61" s="191"/>
      <c r="H61" s="191"/>
      <c r="I61" s="191"/>
      <c r="J61" s="191"/>
      <c r="K61" s="191"/>
      <c r="L61" s="191"/>
      <c r="M61" s="191"/>
      <c r="N61" s="191" t="s">
        <v>151</v>
      </c>
      <c r="O61" s="192"/>
      <c r="P61" s="191"/>
      <c r="Q61" s="191"/>
      <c r="R61" s="191"/>
      <c r="S61" s="191"/>
      <c r="T61" s="191"/>
      <c r="U61" s="191"/>
      <c r="V61" s="191"/>
      <c r="W61" s="191"/>
      <c r="X61" s="193"/>
      <c r="Y61" s="3"/>
    </row>
    <row r="62" spans="1:24" ht="15">
      <c r="A62" s="194"/>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1:24" ht="15">
      <c r="A63" s="10"/>
      <c r="B63" s="11"/>
      <c r="C63" s="11"/>
      <c r="D63" s="11"/>
      <c r="E63" s="11"/>
      <c r="F63" s="11"/>
      <c r="G63" s="11"/>
      <c r="H63" s="11"/>
      <c r="I63" s="11"/>
      <c r="J63" s="11"/>
      <c r="K63" s="11"/>
      <c r="L63" s="11"/>
      <c r="M63" s="11"/>
      <c r="N63" s="11"/>
      <c r="O63" s="11"/>
      <c r="P63" s="11"/>
      <c r="Q63" s="11"/>
      <c r="R63" s="11"/>
      <c r="S63" s="11"/>
      <c r="T63" s="11"/>
      <c r="U63" s="11"/>
      <c r="V63" s="11"/>
      <c r="W63" s="11"/>
      <c r="X63" s="11"/>
    </row>
    <row r="64" ht="15">
      <c r="A64" s="7"/>
    </row>
    <row r="65" ht="15">
      <c r="A65" s="7"/>
    </row>
  </sheetData>
  <sheetProtection password="E69A" sheet="1" objects="1" scenarios="1" selectLockedCells="1" selectUnlockedCells="1"/>
  <mergeCells count="65">
    <mergeCell ref="B52:X52"/>
    <mergeCell ref="B55:X55"/>
    <mergeCell ref="H43:L43"/>
    <mergeCell ref="T19:X19"/>
    <mergeCell ref="T21:X21"/>
    <mergeCell ref="H23:L23"/>
    <mergeCell ref="T23:X23"/>
    <mergeCell ref="H44:L44"/>
    <mergeCell ref="T44:X44"/>
    <mergeCell ref="T43:X43"/>
    <mergeCell ref="A56:A60"/>
    <mergeCell ref="H45:L45"/>
    <mergeCell ref="T45:X45"/>
    <mergeCell ref="H46:L46"/>
    <mergeCell ref="H47:L47"/>
    <mergeCell ref="H48:L48"/>
    <mergeCell ref="S51:W51"/>
    <mergeCell ref="B50:L51"/>
    <mergeCell ref="A17:A55"/>
    <mergeCell ref="H41:L41"/>
    <mergeCell ref="T41:X41"/>
    <mergeCell ref="H42:L42"/>
    <mergeCell ref="T42:X42"/>
    <mergeCell ref="B3:X3"/>
    <mergeCell ref="R4:X4"/>
    <mergeCell ref="B5:E5"/>
    <mergeCell ref="T29:X29"/>
    <mergeCell ref="R12:X13"/>
    <mergeCell ref="H39:L39"/>
    <mergeCell ref="B10:E10"/>
    <mergeCell ref="F12:L12"/>
    <mergeCell ref="M12:Q12"/>
    <mergeCell ref="T35:X35"/>
    <mergeCell ref="T10:X10"/>
    <mergeCell ref="T7:X7"/>
    <mergeCell ref="B7:E7"/>
    <mergeCell ref="R7:S7"/>
    <mergeCell ref="H38:L38"/>
    <mergeCell ref="N14:Q14"/>
    <mergeCell ref="R14:X14"/>
    <mergeCell ref="T36:X36"/>
    <mergeCell ref="J16:L16"/>
    <mergeCell ref="F14:I14"/>
    <mergeCell ref="T33:X33"/>
    <mergeCell ref="T34:X34"/>
    <mergeCell ref="T38:X38"/>
    <mergeCell ref="F7:I7"/>
    <mergeCell ref="R10:S10"/>
    <mergeCell ref="F10:J10"/>
    <mergeCell ref="H40:L40"/>
    <mergeCell ref="T40:X40"/>
    <mergeCell ref="T25:X25"/>
    <mergeCell ref="H27:L27"/>
    <mergeCell ref="T27:X27"/>
    <mergeCell ref="T37:X37"/>
    <mergeCell ref="U2:X2"/>
    <mergeCell ref="B2:T2"/>
    <mergeCell ref="A1:X1"/>
    <mergeCell ref="H37:L37"/>
    <mergeCell ref="T39:X39"/>
    <mergeCell ref="T30:X30"/>
    <mergeCell ref="T31:X31"/>
    <mergeCell ref="T32:X32"/>
    <mergeCell ref="T18:X18"/>
    <mergeCell ref="M18:R18"/>
  </mergeCells>
  <printOptions/>
  <pageMargins left="0.77" right="0.29" top="0.33" bottom="0.13" header="0.48" footer="0.11"/>
  <pageSetup horizontalDpi="300" verticalDpi="300" orientation="portrait" paperSize="9" scale="90" r:id="rId2"/>
  <ignoredErrors>
    <ignoredError sqref="G19" formula="1"/>
  </ignoredErrors>
  <drawing r:id="rId1"/>
</worksheet>
</file>

<file path=xl/worksheets/sheet5.xml><?xml version="1.0" encoding="utf-8"?>
<worksheet xmlns="http://schemas.openxmlformats.org/spreadsheetml/2006/main" xmlns:r="http://schemas.openxmlformats.org/officeDocument/2006/relationships">
  <sheetPr>
    <tabColor rgb="FF002060"/>
  </sheetPr>
  <dimension ref="A1:M49"/>
  <sheetViews>
    <sheetView showGridLines="0" showRowColHeaders="0" zoomScalePageLayoutView="0" workbookViewId="0" topLeftCell="A4">
      <selection activeCell="R34" sqref="R34"/>
    </sheetView>
  </sheetViews>
  <sheetFormatPr defaultColWidth="9.140625" defaultRowHeight="15"/>
  <cols>
    <col min="1" max="1" width="4.00390625" style="0" customWidth="1"/>
    <col min="2" max="2" width="5.140625" style="0" customWidth="1"/>
    <col min="3" max="3" width="2.00390625" style="0" customWidth="1"/>
    <col min="4" max="4" width="9.7109375" style="0" customWidth="1"/>
    <col min="5" max="5" width="3.421875" style="0" customWidth="1"/>
    <col min="6" max="6" width="7.140625" style="0" customWidth="1"/>
    <col min="7" max="7" width="5.57421875" style="0" customWidth="1"/>
    <col min="8" max="8" width="5.7109375" style="0" customWidth="1"/>
    <col min="9" max="9" width="5.57421875" style="0" customWidth="1"/>
    <col min="10" max="10" width="7.140625" style="0" customWidth="1"/>
    <col min="11" max="11" width="5.28125" style="0" customWidth="1"/>
    <col min="12" max="12" width="7.00390625" style="0" customWidth="1"/>
    <col min="13" max="13" width="20.140625" style="0" customWidth="1"/>
  </cols>
  <sheetData>
    <row r="1" spans="1:13" ht="32.25" customHeight="1" thickBot="1">
      <c r="A1" s="587" t="s">
        <v>210</v>
      </c>
      <c r="B1" s="587"/>
      <c r="C1" s="587"/>
      <c r="D1" s="587"/>
      <c r="E1" s="587"/>
      <c r="F1" s="587"/>
      <c r="G1" s="587"/>
      <c r="H1" s="587"/>
      <c r="I1" s="587"/>
      <c r="J1" s="587"/>
      <c r="K1" s="587"/>
      <c r="L1" s="587"/>
      <c r="M1" s="587"/>
    </row>
    <row r="2" spans="1:13" ht="15.75" thickTop="1">
      <c r="A2" s="118"/>
      <c r="B2" s="119"/>
      <c r="C2" s="119"/>
      <c r="D2" s="119"/>
      <c r="E2" s="119"/>
      <c r="F2" s="119"/>
      <c r="G2" s="119"/>
      <c r="H2" s="119"/>
      <c r="I2" s="119"/>
      <c r="J2" s="119"/>
      <c r="K2" s="119"/>
      <c r="L2" s="119"/>
      <c r="M2" s="120"/>
    </row>
    <row r="3" spans="1:13" ht="15">
      <c r="A3" s="121" t="s">
        <v>211</v>
      </c>
      <c r="B3" s="122" t="s">
        <v>519</v>
      </c>
      <c r="C3" s="122"/>
      <c r="D3" s="122"/>
      <c r="E3" s="122"/>
      <c r="F3" s="122"/>
      <c r="G3" s="122"/>
      <c r="H3" s="122"/>
      <c r="I3" s="122" t="s">
        <v>100</v>
      </c>
      <c r="J3" s="122"/>
      <c r="K3" s="122"/>
      <c r="L3" s="122"/>
      <c r="M3" s="123"/>
    </row>
    <row r="4" spans="1:13" ht="15">
      <c r="A4" s="121" t="s">
        <v>212</v>
      </c>
      <c r="B4" s="122" t="s">
        <v>213</v>
      </c>
      <c r="C4" s="122"/>
      <c r="D4" s="122"/>
      <c r="E4" s="122"/>
      <c r="F4" s="122"/>
      <c r="G4" s="122"/>
      <c r="H4" s="122"/>
      <c r="I4" s="122" t="s">
        <v>100</v>
      </c>
      <c r="J4" s="122"/>
      <c r="K4" s="122"/>
      <c r="L4" s="122"/>
      <c r="M4" s="123"/>
    </row>
    <row r="5" spans="1:13" ht="15">
      <c r="A5" s="121" t="s">
        <v>214</v>
      </c>
      <c r="B5" s="122" t="s">
        <v>215</v>
      </c>
      <c r="C5" s="122"/>
      <c r="D5" s="122"/>
      <c r="E5" s="122"/>
      <c r="F5" s="122"/>
      <c r="G5" s="122"/>
      <c r="H5" s="122"/>
      <c r="I5" s="122" t="s">
        <v>100</v>
      </c>
      <c r="J5" s="122"/>
      <c r="K5" s="122"/>
      <c r="L5" s="122"/>
      <c r="M5" s="123"/>
    </row>
    <row r="6" spans="1:13" ht="15">
      <c r="A6" s="124"/>
      <c r="B6" s="122"/>
      <c r="C6" s="122"/>
      <c r="D6" s="122"/>
      <c r="E6" s="122"/>
      <c r="F6" s="122"/>
      <c r="G6" s="122"/>
      <c r="H6" s="122"/>
      <c r="I6" s="122"/>
      <c r="J6" s="122"/>
      <c r="K6" s="122"/>
      <c r="L6" s="122"/>
      <c r="M6" s="123"/>
    </row>
    <row r="7" spans="1:13" ht="15">
      <c r="A7" s="124"/>
      <c r="B7" s="122"/>
      <c r="C7" s="122"/>
      <c r="D7" s="122"/>
      <c r="E7" s="122"/>
      <c r="F7" s="122"/>
      <c r="G7" s="122"/>
      <c r="H7" s="122"/>
      <c r="I7" s="122"/>
      <c r="J7" s="122"/>
      <c r="K7" s="122"/>
      <c r="L7" s="122"/>
      <c r="M7" s="123"/>
    </row>
    <row r="8" spans="1:13" ht="15">
      <c r="A8" s="124"/>
      <c r="B8" s="122"/>
      <c r="C8" s="122"/>
      <c r="D8" s="122"/>
      <c r="E8" s="122"/>
      <c r="F8" s="122"/>
      <c r="G8" s="122"/>
      <c r="H8" s="122"/>
      <c r="I8" s="122"/>
      <c r="J8" s="122"/>
      <c r="K8" s="122"/>
      <c r="L8" s="122"/>
      <c r="M8" s="123"/>
    </row>
    <row r="9" spans="1:13" ht="15.75" thickBot="1">
      <c r="A9" s="124"/>
      <c r="B9" s="122"/>
      <c r="C9" s="122"/>
      <c r="D9" s="122"/>
      <c r="E9" s="122"/>
      <c r="F9" s="122"/>
      <c r="G9" s="122"/>
      <c r="H9" s="125"/>
      <c r="I9" s="122"/>
      <c r="J9" s="584" t="s">
        <v>142</v>
      </c>
      <c r="K9" s="584"/>
      <c r="L9" s="584"/>
      <c r="M9" s="585"/>
    </row>
    <row r="10" spans="1:13" ht="15">
      <c r="A10" s="126"/>
      <c r="B10" s="127"/>
      <c r="C10" s="127"/>
      <c r="D10" s="127"/>
      <c r="E10" s="127"/>
      <c r="F10" s="127"/>
      <c r="G10" s="127"/>
      <c r="H10" s="128"/>
      <c r="I10" s="127"/>
      <c r="J10" s="127"/>
      <c r="K10" s="127"/>
      <c r="L10" s="127"/>
      <c r="M10" s="129"/>
    </row>
    <row r="11" spans="1:13" ht="15">
      <c r="A11" s="124"/>
      <c r="B11" s="580" t="s">
        <v>216</v>
      </c>
      <c r="C11" s="580"/>
      <c r="D11" s="580"/>
      <c r="E11" s="580"/>
      <c r="F11" s="130"/>
      <c r="G11" s="130" t="str">
        <f>'[3]47-FRONT'!G57</f>
        <v>Rs.</v>
      </c>
      <c r="H11" s="581">
        <f>'APTC-47'!H48</f>
        <v>3859</v>
      </c>
      <c r="I11" s="581"/>
      <c r="J11" s="581"/>
      <c r="K11" s="122"/>
      <c r="L11" s="122"/>
      <c r="M11" s="123"/>
    </row>
    <row r="12" spans="1:13" ht="15">
      <c r="A12" s="124"/>
      <c r="B12" s="588" t="str">
        <f>CONCATENATE("Rs",".",DATA!AL141," only")</f>
        <v>Rs.  Three Thousands Eight Hundred and Fifty Nine rupees only  only</v>
      </c>
      <c r="C12" s="588"/>
      <c r="D12" s="588"/>
      <c r="E12" s="588"/>
      <c r="F12" s="588"/>
      <c r="G12" s="588"/>
      <c r="H12" s="588"/>
      <c r="I12" s="588"/>
      <c r="J12" s="588"/>
      <c r="K12" s="588"/>
      <c r="L12" s="588"/>
      <c r="M12" s="589"/>
    </row>
    <row r="13" spans="1:13" ht="15">
      <c r="A13" s="124"/>
      <c r="B13" s="122" t="s">
        <v>217</v>
      </c>
      <c r="C13" s="35"/>
      <c r="D13" s="35"/>
      <c r="E13" s="35"/>
      <c r="F13" s="35"/>
      <c r="G13" s="35"/>
      <c r="H13" s="35"/>
      <c r="I13" s="35"/>
      <c r="J13" s="122"/>
      <c r="K13" s="122"/>
      <c r="L13" s="122"/>
      <c r="M13" s="123"/>
    </row>
    <row r="14" spans="1:13" ht="15">
      <c r="A14" s="124"/>
      <c r="B14" s="122" t="s">
        <v>218</v>
      </c>
      <c r="C14" s="122"/>
      <c r="D14" s="122"/>
      <c r="E14" s="122"/>
      <c r="F14" s="122"/>
      <c r="G14" s="122"/>
      <c r="H14" s="122"/>
      <c r="I14" s="122"/>
      <c r="J14" s="122"/>
      <c r="K14" s="122"/>
      <c r="L14" s="122"/>
      <c r="M14" s="123"/>
    </row>
    <row r="15" spans="1:13" ht="15">
      <c r="A15" s="124"/>
      <c r="B15" s="122"/>
      <c r="C15" s="122"/>
      <c r="D15" s="122"/>
      <c r="E15" s="122"/>
      <c r="F15" s="122"/>
      <c r="G15" s="122"/>
      <c r="H15" s="122"/>
      <c r="I15" s="122"/>
      <c r="J15" s="122"/>
      <c r="K15" s="122"/>
      <c r="L15" s="122"/>
      <c r="M15" s="123"/>
    </row>
    <row r="16" spans="1:13" ht="15">
      <c r="A16" s="124"/>
      <c r="B16" s="122"/>
      <c r="C16" s="122"/>
      <c r="D16" s="122"/>
      <c r="E16" s="122"/>
      <c r="F16" s="122"/>
      <c r="G16" s="122"/>
      <c r="H16" s="122"/>
      <c r="I16" s="122"/>
      <c r="J16" s="122"/>
      <c r="K16" s="122"/>
      <c r="L16" s="122"/>
      <c r="M16" s="123"/>
    </row>
    <row r="17" spans="1:13" ht="15">
      <c r="A17" s="124"/>
      <c r="B17" s="122"/>
      <c r="C17" s="122"/>
      <c r="D17" s="122"/>
      <c r="E17" s="122"/>
      <c r="F17" s="122"/>
      <c r="G17" s="122"/>
      <c r="H17" s="122"/>
      <c r="I17" s="122"/>
      <c r="J17" s="122"/>
      <c r="K17" s="122"/>
      <c r="L17" s="122"/>
      <c r="M17" s="123"/>
    </row>
    <row r="18" spans="1:13" ht="15.75" thickBot="1">
      <c r="A18" s="131"/>
      <c r="B18" s="132" t="s">
        <v>142</v>
      </c>
      <c r="C18" s="132"/>
      <c r="D18" s="132"/>
      <c r="E18" s="132"/>
      <c r="F18" s="132"/>
      <c r="G18" s="132"/>
      <c r="H18" s="132"/>
      <c r="I18" s="132"/>
      <c r="J18" s="590" t="s">
        <v>142</v>
      </c>
      <c r="K18" s="590"/>
      <c r="L18" s="590"/>
      <c r="M18" s="591"/>
    </row>
    <row r="19" spans="1:13" ht="15">
      <c r="A19" s="592" t="s">
        <v>219</v>
      </c>
      <c r="B19" s="593"/>
      <c r="C19" s="593"/>
      <c r="D19" s="593"/>
      <c r="E19" s="593"/>
      <c r="F19" s="593"/>
      <c r="G19" s="593"/>
      <c r="H19" s="593"/>
      <c r="I19" s="593"/>
      <c r="J19" s="593"/>
      <c r="K19" s="593"/>
      <c r="L19" s="593"/>
      <c r="M19" s="594"/>
    </row>
    <row r="20" spans="1:13" ht="8.25" customHeight="1">
      <c r="A20" s="124"/>
      <c r="B20" s="122"/>
      <c r="C20" s="122"/>
      <c r="D20" s="122"/>
      <c r="E20" s="122"/>
      <c r="F20" s="122"/>
      <c r="G20" s="122"/>
      <c r="H20" s="122"/>
      <c r="I20" s="122"/>
      <c r="J20" s="122"/>
      <c r="K20" s="122"/>
      <c r="L20" s="122"/>
      <c r="M20" s="123"/>
    </row>
    <row r="21" spans="1:13" ht="15">
      <c r="A21" s="133">
        <v>1</v>
      </c>
      <c r="B21" s="582" t="s">
        <v>220</v>
      </c>
      <c r="C21" s="582"/>
      <c r="D21" s="582"/>
      <c r="E21" s="582"/>
      <c r="F21" s="582"/>
      <c r="G21" s="582"/>
      <c r="H21" s="582"/>
      <c r="I21" s="582"/>
      <c r="J21" s="582"/>
      <c r="K21" s="582"/>
      <c r="L21" s="582"/>
      <c r="M21" s="583"/>
    </row>
    <row r="22" spans="1:13" ht="15">
      <c r="A22" s="133">
        <v>2</v>
      </c>
      <c r="B22" s="582" t="s">
        <v>221</v>
      </c>
      <c r="C22" s="582"/>
      <c r="D22" s="582"/>
      <c r="E22" s="582"/>
      <c r="F22" s="582"/>
      <c r="G22" s="582"/>
      <c r="H22" s="582"/>
      <c r="I22" s="582"/>
      <c r="J22" s="582"/>
      <c r="K22" s="582"/>
      <c r="L22" s="582"/>
      <c r="M22" s="583"/>
    </row>
    <row r="23" spans="1:13" ht="15">
      <c r="A23" s="133">
        <v>3</v>
      </c>
      <c r="B23" s="582" t="s">
        <v>222</v>
      </c>
      <c r="C23" s="582"/>
      <c r="D23" s="582"/>
      <c r="E23" s="582"/>
      <c r="F23" s="582"/>
      <c r="G23" s="582"/>
      <c r="H23" s="582"/>
      <c r="I23" s="582"/>
      <c r="J23" s="582"/>
      <c r="K23" s="582"/>
      <c r="L23" s="582"/>
      <c r="M23" s="583"/>
    </row>
    <row r="24" spans="1:13" ht="15">
      <c r="A24" s="133">
        <v>4</v>
      </c>
      <c r="B24" s="582" t="s">
        <v>223</v>
      </c>
      <c r="C24" s="582"/>
      <c r="D24" s="582"/>
      <c r="E24" s="582"/>
      <c r="F24" s="582"/>
      <c r="G24" s="582"/>
      <c r="H24" s="582"/>
      <c r="I24" s="582"/>
      <c r="J24" s="582"/>
      <c r="K24" s="582"/>
      <c r="L24" s="582"/>
      <c r="M24" s="583"/>
    </row>
    <row r="25" spans="1:13" ht="15">
      <c r="A25" s="133">
        <v>5</v>
      </c>
      <c r="B25" s="582" t="s">
        <v>224</v>
      </c>
      <c r="C25" s="582"/>
      <c r="D25" s="582"/>
      <c r="E25" s="582"/>
      <c r="F25" s="582"/>
      <c r="G25" s="582"/>
      <c r="H25" s="582"/>
      <c r="I25" s="582"/>
      <c r="J25" s="582"/>
      <c r="K25" s="582"/>
      <c r="L25" s="582"/>
      <c r="M25" s="583"/>
    </row>
    <row r="26" spans="1:13" ht="15">
      <c r="A26" s="133">
        <v>6</v>
      </c>
      <c r="B26" s="582" t="s">
        <v>530</v>
      </c>
      <c r="C26" s="582"/>
      <c r="D26" s="582"/>
      <c r="E26" s="582"/>
      <c r="F26" s="582"/>
      <c r="G26" s="582"/>
      <c r="H26" s="582"/>
      <c r="I26" s="582"/>
      <c r="J26" s="582"/>
      <c r="K26" s="582"/>
      <c r="L26" s="582"/>
      <c r="M26" s="583"/>
    </row>
    <row r="27" spans="1:13" ht="15">
      <c r="A27" s="133">
        <v>7</v>
      </c>
      <c r="B27" s="35" t="s">
        <v>225</v>
      </c>
      <c r="C27" s="35"/>
      <c r="D27" s="35"/>
      <c r="E27" s="35"/>
      <c r="F27" s="35"/>
      <c r="G27" s="35"/>
      <c r="H27" s="35"/>
      <c r="I27" s="35"/>
      <c r="J27" s="35"/>
      <c r="K27" s="35"/>
      <c r="L27" s="35"/>
      <c r="M27" s="37"/>
    </row>
    <row r="28" spans="1:13" ht="15">
      <c r="A28" s="133">
        <v>8</v>
      </c>
      <c r="B28" s="582" t="str">
        <f>CONCATENATE("Certified that the Special pays are claimed in terms of G.O.M.S No.118 Finance  Dept.,")</f>
        <v>Certified that the Special pays are claimed in terms of G.O.M.S No.118 Finance  Dept.,</v>
      </c>
      <c r="C28" s="582"/>
      <c r="D28" s="582"/>
      <c r="E28" s="582"/>
      <c r="F28" s="582"/>
      <c r="G28" s="582"/>
      <c r="H28" s="582"/>
      <c r="I28" s="582"/>
      <c r="J28" s="582"/>
      <c r="K28" s="582"/>
      <c r="L28" s="582"/>
      <c r="M28" s="583"/>
    </row>
    <row r="29" spans="1:13" ht="15">
      <c r="A29" s="133"/>
      <c r="B29" s="582" t="s">
        <v>226</v>
      </c>
      <c r="C29" s="582"/>
      <c r="D29" s="582"/>
      <c r="E29" s="582"/>
      <c r="F29" s="203"/>
      <c r="G29" s="203"/>
      <c r="H29" s="203"/>
      <c r="I29" s="203"/>
      <c r="J29" s="203"/>
      <c r="K29" s="203"/>
      <c r="L29" s="203"/>
      <c r="M29" s="204"/>
    </row>
    <row r="30" spans="1:13" ht="15">
      <c r="A30" s="133">
        <v>9</v>
      </c>
      <c r="B30" s="582" t="s">
        <v>227</v>
      </c>
      <c r="C30" s="582"/>
      <c r="D30" s="582"/>
      <c r="E30" s="582"/>
      <c r="F30" s="582"/>
      <c r="G30" s="582"/>
      <c r="H30" s="582"/>
      <c r="I30" s="582"/>
      <c r="J30" s="582"/>
      <c r="K30" s="582"/>
      <c r="L30" s="582"/>
      <c r="M30" s="583"/>
    </row>
    <row r="31" spans="1:13" ht="15">
      <c r="A31" s="133"/>
      <c r="B31" s="586" t="s">
        <v>228</v>
      </c>
      <c r="C31" s="586"/>
      <c r="D31" s="586"/>
      <c r="E31" s="586"/>
      <c r="F31" s="586"/>
      <c r="G31" s="586"/>
      <c r="H31" s="586"/>
      <c r="I31" s="203"/>
      <c r="J31" s="203"/>
      <c r="K31" s="203"/>
      <c r="L31" s="203"/>
      <c r="M31" s="204"/>
    </row>
    <row r="32" spans="1:13" ht="15">
      <c r="A32" s="134">
        <v>10</v>
      </c>
      <c r="B32" s="582" t="str">
        <f>CONCATENATE("Certified that the Convyance Alwance are claimed in terms of G.O.M.S No.108 Finance  Dept.,")</f>
        <v>Certified that the Convyance Alwance are claimed in terms of G.O.M.S No.108 Finance  Dept.,</v>
      </c>
      <c r="C32" s="582"/>
      <c r="D32" s="582"/>
      <c r="E32" s="582"/>
      <c r="F32" s="582"/>
      <c r="G32" s="582"/>
      <c r="H32" s="582"/>
      <c r="I32" s="582"/>
      <c r="J32" s="582"/>
      <c r="K32" s="582"/>
      <c r="L32" s="582"/>
      <c r="M32" s="583"/>
    </row>
    <row r="33" spans="1:13" ht="15">
      <c r="A33" s="124"/>
      <c r="B33" s="122" t="s">
        <v>229</v>
      </c>
      <c r="C33" s="122"/>
      <c r="D33" s="122"/>
      <c r="E33" s="122"/>
      <c r="F33" s="122"/>
      <c r="G33" s="122"/>
      <c r="H33" s="122"/>
      <c r="I33" s="122"/>
      <c r="J33" s="122"/>
      <c r="K33" s="122"/>
      <c r="L33" s="122"/>
      <c r="M33" s="123"/>
    </row>
    <row r="34" spans="1:13" ht="15">
      <c r="A34" s="124"/>
      <c r="B34" s="122"/>
      <c r="C34" s="122"/>
      <c r="D34" s="122"/>
      <c r="E34" s="122"/>
      <c r="F34" s="122"/>
      <c r="G34" s="122"/>
      <c r="H34" s="122"/>
      <c r="I34" s="122"/>
      <c r="J34" s="122"/>
      <c r="K34" s="122"/>
      <c r="L34" s="122"/>
      <c r="M34" s="123"/>
    </row>
    <row r="35" spans="1:13" ht="15">
      <c r="A35" s="124"/>
      <c r="B35" s="122"/>
      <c r="C35" s="122"/>
      <c r="D35" s="122"/>
      <c r="E35" s="122"/>
      <c r="F35" s="122"/>
      <c r="G35" s="122"/>
      <c r="H35" s="122"/>
      <c r="I35" s="122"/>
      <c r="J35" s="122"/>
      <c r="K35" s="122"/>
      <c r="L35" s="122"/>
      <c r="M35" s="123"/>
    </row>
    <row r="36" spans="1:13" ht="15">
      <c r="A36" s="124"/>
      <c r="B36" s="122"/>
      <c r="C36" s="122"/>
      <c r="D36" s="122"/>
      <c r="E36" s="122"/>
      <c r="F36" s="122"/>
      <c r="G36" s="122"/>
      <c r="H36" s="584" t="s">
        <v>230</v>
      </c>
      <c r="I36" s="584"/>
      <c r="J36" s="584"/>
      <c r="K36" s="584"/>
      <c r="L36" s="584"/>
      <c r="M36" s="585"/>
    </row>
    <row r="37" spans="1:13" ht="7.5" customHeight="1">
      <c r="A37" s="124"/>
      <c r="B37" s="122"/>
      <c r="C37" s="122"/>
      <c r="D37" s="122"/>
      <c r="E37" s="122"/>
      <c r="F37" s="122"/>
      <c r="G37" s="122"/>
      <c r="H37" s="122"/>
      <c r="I37" s="122"/>
      <c r="J37" s="122"/>
      <c r="K37" s="122"/>
      <c r="L37" s="122"/>
      <c r="M37" s="123"/>
    </row>
    <row r="38" spans="1:13" ht="15.75" thickBot="1">
      <c r="A38" s="577" t="s">
        <v>231</v>
      </c>
      <c r="B38" s="578"/>
      <c r="C38" s="578"/>
      <c r="D38" s="578"/>
      <c r="E38" s="578"/>
      <c r="F38" s="578"/>
      <c r="G38" s="578"/>
      <c r="H38" s="578"/>
      <c r="I38" s="578"/>
      <c r="J38" s="578"/>
      <c r="K38" s="578"/>
      <c r="L38" s="578"/>
      <c r="M38" s="579"/>
    </row>
    <row r="39" spans="1:13" ht="15">
      <c r="A39" s="124"/>
      <c r="B39" s="122"/>
      <c r="C39" s="122"/>
      <c r="D39" s="122"/>
      <c r="E39" s="122"/>
      <c r="F39" s="122"/>
      <c r="G39" s="122"/>
      <c r="H39" s="122"/>
      <c r="I39" s="122"/>
      <c r="J39" s="122"/>
      <c r="K39" s="122"/>
      <c r="L39" s="122"/>
      <c r="M39" s="123"/>
    </row>
    <row r="40" spans="1:13" ht="15">
      <c r="A40" s="124"/>
      <c r="B40" s="122"/>
      <c r="C40" s="122"/>
      <c r="D40" s="122"/>
      <c r="E40" s="122"/>
      <c r="F40" s="122"/>
      <c r="G40" s="122"/>
      <c r="H40" s="122"/>
      <c r="I40" s="122"/>
      <c r="J40" s="122"/>
      <c r="K40" s="122"/>
      <c r="L40" s="122"/>
      <c r="M40" s="123"/>
    </row>
    <row r="41" spans="1:13" ht="15">
      <c r="A41" s="124"/>
      <c r="B41" s="122"/>
      <c r="C41" s="122"/>
      <c r="D41" s="122"/>
      <c r="E41" s="122"/>
      <c r="F41" s="122"/>
      <c r="G41" s="122"/>
      <c r="H41" s="122"/>
      <c r="I41" s="122"/>
      <c r="J41" s="122"/>
      <c r="K41" s="122"/>
      <c r="L41" s="122"/>
      <c r="M41" s="123"/>
    </row>
    <row r="42" spans="1:13" ht="15">
      <c r="A42" s="124"/>
      <c r="B42" s="122"/>
      <c r="C42" s="122"/>
      <c r="D42" s="122"/>
      <c r="E42" s="122"/>
      <c r="F42" s="122"/>
      <c r="G42" s="122"/>
      <c r="H42" s="122"/>
      <c r="I42" s="122"/>
      <c r="J42" s="122"/>
      <c r="K42" s="122"/>
      <c r="L42" s="122"/>
      <c r="M42" s="123"/>
    </row>
    <row r="43" spans="1:13" ht="15">
      <c r="A43" s="124"/>
      <c r="B43" s="122"/>
      <c r="C43" s="122"/>
      <c r="D43" s="122"/>
      <c r="E43" s="122"/>
      <c r="F43" s="122"/>
      <c r="G43" s="122"/>
      <c r="H43" s="122"/>
      <c r="I43" s="122"/>
      <c r="J43" s="122"/>
      <c r="K43" s="122"/>
      <c r="L43" s="122"/>
      <c r="M43" s="123"/>
    </row>
    <row r="44" spans="1:13" ht="15">
      <c r="A44" s="124"/>
      <c r="B44" s="122"/>
      <c r="C44" s="122"/>
      <c r="D44" s="122"/>
      <c r="E44" s="122"/>
      <c r="F44" s="122"/>
      <c r="G44" s="122"/>
      <c r="H44" s="122"/>
      <c r="I44" s="122"/>
      <c r="J44" s="122"/>
      <c r="K44" s="122"/>
      <c r="L44" s="122"/>
      <c r="M44" s="135"/>
    </row>
    <row r="45" spans="1:13" ht="15">
      <c r="A45" s="65"/>
      <c r="B45" s="61"/>
      <c r="C45" s="61"/>
      <c r="D45" s="61"/>
      <c r="E45" s="61"/>
      <c r="F45" s="61"/>
      <c r="G45" s="61"/>
      <c r="H45" s="61"/>
      <c r="I45" s="61"/>
      <c r="J45" s="61"/>
      <c r="K45" s="61"/>
      <c r="L45" s="61"/>
      <c r="M45" s="64"/>
    </row>
    <row r="46" spans="1:13" ht="15">
      <c r="A46" s="34"/>
      <c r="B46" s="35"/>
      <c r="C46" s="35"/>
      <c r="D46" s="35"/>
      <c r="E46" s="35"/>
      <c r="F46" s="35"/>
      <c r="G46" s="35"/>
      <c r="H46" s="35"/>
      <c r="I46" s="35"/>
      <c r="J46" s="35"/>
      <c r="K46" s="35"/>
      <c r="L46" s="35"/>
      <c r="M46" s="37"/>
    </row>
    <row r="47" spans="1:13" ht="15">
      <c r="A47" s="34"/>
      <c r="B47" s="35"/>
      <c r="C47" s="35"/>
      <c r="D47" s="35"/>
      <c r="E47" s="35"/>
      <c r="F47" s="35"/>
      <c r="G47" s="35"/>
      <c r="H47" s="35"/>
      <c r="I47" s="35"/>
      <c r="J47" s="35"/>
      <c r="K47" s="35"/>
      <c r="L47" s="35"/>
      <c r="M47" s="37"/>
    </row>
    <row r="48" spans="1:13" ht="15">
      <c r="A48" s="34"/>
      <c r="B48" s="35"/>
      <c r="C48" s="35"/>
      <c r="D48" s="35"/>
      <c r="E48" s="35"/>
      <c r="F48" s="35"/>
      <c r="G48" s="35"/>
      <c r="H48" s="35"/>
      <c r="I48" s="35"/>
      <c r="J48" s="35"/>
      <c r="K48" s="35"/>
      <c r="L48" s="35"/>
      <c r="M48" s="37"/>
    </row>
    <row r="49" spans="1:13" ht="15.75" thickBot="1">
      <c r="A49" s="72"/>
      <c r="B49" s="73"/>
      <c r="C49" s="73"/>
      <c r="D49" s="73"/>
      <c r="E49" s="73"/>
      <c r="F49" s="73"/>
      <c r="G49" s="73"/>
      <c r="H49" s="73"/>
      <c r="I49" s="73"/>
      <c r="J49" s="73"/>
      <c r="K49" s="73"/>
      <c r="L49" s="73"/>
      <c r="M49" s="74"/>
    </row>
    <row r="50" ht="15.75" thickTop="1"/>
  </sheetData>
  <sheetProtection password="E69A" sheet="1" objects="1" scenarios="1" selectLockedCells="1" selectUnlockedCells="1"/>
  <mergeCells count="20">
    <mergeCell ref="B23:M23"/>
    <mergeCell ref="B24:M24"/>
    <mergeCell ref="B25:M25"/>
    <mergeCell ref="B26:M26"/>
    <mergeCell ref="B31:H31"/>
    <mergeCell ref="A1:M1"/>
    <mergeCell ref="J9:M9"/>
    <mergeCell ref="B12:M12"/>
    <mergeCell ref="J18:M18"/>
    <mergeCell ref="A19:M19"/>
    <mergeCell ref="A38:M38"/>
    <mergeCell ref="B11:E11"/>
    <mergeCell ref="H11:J11"/>
    <mergeCell ref="B28:M28"/>
    <mergeCell ref="B29:E29"/>
    <mergeCell ref="B30:M30"/>
    <mergeCell ref="B32:M32"/>
    <mergeCell ref="H36:M36"/>
    <mergeCell ref="B21:M21"/>
    <mergeCell ref="B22:M22"/>
  </mergeCells>
  <printOptions/>
  <pageMargins left="0.6" right="0.39" top="0.52" bottom="0.4" header="0.3" footer="0.3"/>
  <pageSetup horizontalDpi="300" verticalDpi="300" orientation="portrait" paperSize="9" r:id="rId1"/>
  <ignoredErrors>
    <ignoredError sqref="A3:A6" numberStoredAsText="1"/>
  </ignoredErrors>
</worksheet>
</file>

<file path=xl/worksheets/sheet6.xml><?xml version="1.0" encoding="utf-8"?>
<worksheet xmlns="http://schemas.openxmlformats.org/spreadsheetml/2006/main" xmlns:r="http://schemas.openxmlformats.org/officeDocument/2006/relationships">
  <sheetPr>
    <tabColor rgb="FFFF0000"/>
  </sheetPr>
  <dimension ref="A1:AU44"/>
  <sheetViews>
    <sheetView showGridLines="0" showRowColHeaders="0" zoomScalePageLayoutView="0" workbookViewId="0" topLeftCell="A1">
      <selection activeCell="K24" sqref="K24:N24"/>
    </sheetView>
  </sheetViews>
  <sheetFormatPr defaultColWidth="9.140625" defaultRowHeight="15"/>
  <cols>
    <col min="1" max="1" width="10.140625" style="0" customWidth="1"/>
    <col min="2" max="2" width="1.421875" style="0" customWidth="1"/>
    <col min="3" max="3" width="4.28125" style="0" customWidth="1"/>
    <col min="4" max="4" width="1.28515625" style="0" customWidth="1"/>
    <col min="5" max="8" width="4.140625" style="0" customWidth="1"/>
    <col min="9" max="9" width="4.28125" style="0" customWidth="1"/>
    <col min="10" max="10" width="1.28515625" style="0" customWidth="1"/>
    <col min="11" max="12" width="4.140625" style="0" customWidth="1"/>
    <col min="13" max="13" width="1.28515625" style="0" customWidth="1"/>
    <col min="14" max="16" width="4.00390625" style="0" customWidth="1"/>
    <col min="17" max="17" width="3.7109375" style="0" customWidth="1"/>
    <col min="18" max="18" width="4.57421875" style="0" customWidth="1"/>
    <col min="19" max="19" width="4.140625" style="0" customWidth="1"/>
    <col min="20" max="20" width="2.421875" style="0" customWidth="1"/>
    <col min="21" max="21" width="1.57421875" style="0" customWidth="1"/>
    <col min="22" max="22" width="7.8515625" style="0" customWidth="1"/>
    <col min="23" max="23" width="2.140625" style="0" customWidth="1"/>
    <col min="24" max="28" width="3.8515625" style="0" customWidth="1"/>
    <col min="29" max="38" width="3.421875" style="0" customWidth="1"/>
    <col min="39" max="39" width="3.8515625" style="0" customWidth="1"/>
    <col min="40" max="40" width="3.28125" style="0" customWidth="1"/>
    <col min="41" max="43" width="3.7109375" style="0" customWidth="1"/>
    <col min="44" max="44" width="3.140625" style="0" customWidth="1"/>
    <col min="45" max="45" width="2.28125" style="0" customWidth="1"/>
  </cols>
  <sheetData>
    <row r="1" spans="1:45" ht="23.25" thickTop="1">
      <c r="A1" s="611" t="s">
        <v>208</v>
      </c>
      <c r="B1" s="612"/>
      <c r="C1" s="612"/>
      <c r="D1" s="612"/>
      <c r="E1" s="612"/>
      <c r="F1" s="612"/>
      <c r="G1" s="612"/>
      <c r="H1" s="612"/>
      <c r="I1" s="612"/>
      <c r="J1" s="612"/>
      <c r="K1" s="612"/>
      <c r="L1" s="612"/>
      <c r="M1" s="612"/>
      <c r="N1" s="612"/>
      <c r="O1" s="612"/>
      <c r="P1" s="612"/>
      <c r="Q1" s="612"/>
      <c r="R1" s="612"/>
      <c r="S1" s="612"/>
      <c r="T1" s="612"/>
      <c r="U1" s="27"/>
      <c r="V1" s="28"/>
      <c r="W1" s="29"/>
      <c r="X1" s="613" t="s">
        <v>157</v>
      </c>
      <c r="Y1" s="613"/>
      <c r="Z1" s="613"/>
      <c r="AA1" s="613"/>
      <c r="AB1" s="613"/>
      <c r="AC1" s="613"/>
      <c r="AD1" s="613"/>
      <c r="AE1" s="613"/>
      <c r="AF1" s="613"/>
      <c r="AG1" s="613"/>
      <c r="AH1" s="613"/>
      <c r="AI1" s="613"/>
      <c r="AJ1" s="613"/>
      <c r="AK1" s="613"/>
      <c r="AL1" s="613"/>
      <c r="AM1" s="613"/>
      <c r="AN1" s="613"/>
      <c r="AO1" s="613"/>
      <c r="AP1" s="613"/>
      <c r="AQ1" s="613"/>
      <c r="AR1" s="613"/>
      <c r="AS1" s="614"/>
    </row>
    <row r="2" spans="1:45" ht="25.5" customHeight="1">
      <c r="A2" s="30"/>
      <c r="B2" s="31"/>
      <c r="C2" s="31"/>
      <c r="D2" s="31"/>
      <c r="E2" s="31"/>
      <c r="F2" s="31"/>
      <c r="G2" s="615" t="s">
        <v>158</v>
      </c>
      <c r="H2" s="616"/>
      <c r="I2" s="616"/>
      <c r="J2" s="616"/>
      <c r="K2" s="616"/>
      <c r="L2" s="616"/>
      <c r="M2" s="616"/>
      <c r="N2" s="617"/>
      <c r="O2" s="31"/>
      <c r="P2" s="31"/>
      <c r="Q2" s="31"/>
      <c r="R2" s="31"/>
      <c r="S2" s="31"/>
      <c r="T2" s="31"/>
      <c r="U2" s="32"/>
      <c r="V2" s="28"/>
      <c r="W2" s="30"/>
      <c r="X2" s="618" t="s">
        <v>159</v>
      </c>
      <c r="Y2" s="619"/>
      <c r="Z2" s="619"/>
      <c r="AA2" s="619"/>
      <c r="AB2" s="619"/>
      <c r="AC2" s="619"/>
      <c r="AD2" s="619"/>
      <c r="AE2" s="619"/>
      <c r="AF2" s="619"/>
      <c r="AG2" s="619"/>
      <c r="AH2" s="619"/>
      <c r="AI2" s="619"/>
      <c r="AJ2" s="619"/>
      <c r="AK2" s="619"/>
      <c r="AL2" s="619"/>
      <c r="AM2" s="619"/>
      <c r="AN2" s="619"/>
      <c r="AO2" s="619"/>
      <c r="AP2" s="619"/>
      <c r="AQ2" s="619"/>
      <c r="AR2" s="619"/>
      <c r="AS2" s="620"/>
    </row>
    <row r="3" spans="1:45" ht="9" customHeight="1">
      <c r="A3" s="30"/>
      <c r="B3" s="31"/>
      <c r="C3" s="31"/>
      <c r="D3" s="31"/>
      <c r="E3" s="31"/>
      <c r="F3" s="31"/>
      <c r="G3" s="33"/>
      <c r="H3" s="33"/>
      <c r="I3" s="33"/>
      <c r="J3" s="33"/>
      <c r="K3" s="33"/>
      <c r="L3" s="33"/>
      <c r="M3" s="33"/>
      <c r="N3" s="33"/>
      <c r="O3" s="31"/>
      <c r="P3" s="31"/>
      <c r="Q3" s="31"/>
      <c r="R3" s="31"/>
      <c r="S3" s="31"/>
      <c r="T3" s="31"/>
      <c r="U3" s="32"/>
      <c r="V3" s="28"/>
      <c r="W3" s="30"/>
      <c r="X3" s="31"/>
      <c r="Y3" s="31"/>
      <c r="Z3" s="31"/>
      <c r="AA3" s="31"/>
      <c r="AB3" s="31"/>
      <c r="AC3" s="31"/>
      <c r="AD3" s="31"/>
      <c r="AE3" s="31"/>
      <c r="AF3" s="31"/>
      <c r="AG3" s="31"/>
      <c r="AH3" s="31"/>
      <c r="AI3" s="31"/>
      <c r="AJ3" s="31"/>
      <c r="AK3" s="31"/>
      <c r="AL3" s="31"/>
      <c r="AM3" s="31"/>
      <c r="AN3" s="31"/>
      <c r="AO3" s="31"/>
      <c r="AP3" s="31"/>
      <c r="AQ3" s="31"/>
      <c r="AR3" s="31"/>
      <c r="AS3" s="32"/>
    </row>
    <row r="4" spans="1:45" ht="15">
      <c r="A4" s="34"/>
      <c r="B4" s="35"/>
      <c r="C4" s="35"/>
      <c r="D4" s="35"/>
      <c r="E4" s="35"/>
      <c r="F4" s="35"/>
      <c r="G4" s="35"/>
      <c r="H4" s="35"/>
      <c r="I4" s="35"/>
      <c r="J4" s="35"/>
      <c r="K4" s="35"/>
      <c r="L4" s="35"/>
      <c r="M4" s="35"/>
      <c r="N4" s="36"/>
      <c r="O4" s="606" t="s">
        <v>85</v>
      </c>
      <c r="P4" s="606"/>
      <c r="Q4" s="606"/>
      <c r="R4" s="606"/>
      <c r="S4" s="606"/>
      <c r="T4" s="621"/>
      <c r="U4" s="37"/>
      <c r="V4" s="5"/>
      <c r="W4" s="34"/>
      <c r="X4" s="35"/>
      <c r="Y4" s="35"/>
      <c r="Z4" s="35"/>
      <c r="AA4" s="35"/>
      <c r="AB4" s="35"/>
      <c r="AC4" s="35"/>
      <c r="AD4" s="35"/>
      <c r="AE4" s="35"/>
      <c r="AF4" s="35"/>
      <c r="AG4" s="35"/>
      <c r="AH4" s="35"/>
      <c r="AI4" s="35"/>
      <c r="AJ4" s="35"/>
      <c r="AK4" s="35"/>
      <c r="AL4" s="35"/>
      <c r="AM4" s="35"/>
      <c r="AN4" s="35"/>
      <c r="AO4" s="35"/>
      <c r="AP4" s="35"/>
      <c r="AQ4" s="35"/>
      <c r="AR4" s="35"/>
      <c r="AS4" s="37"/>
    </row>
    <row r="5" spans="1:45" ht="15">
      <c r="A5" s="38" t="s">
        <v>160</v>
      </c>
      <c r="B5" s="35" t="s">
        <v>76</v>
      </c>
      <c r="C5" s="622">
        <f>DATA!M15</f>
        <v>913</v>
      </c>
      <c r="D5" s="623"/>
      <c r="E5" s="623"/>
      <c r="F5" s="623"/>
      <c r="G5" s="623"/>
      <c r="H5" s="624"/>
      <c r="I5" s="35"/>
      <c r="J5" s="35"/>
      <c r="K5" s="35"/>
      <c r="L5" s="35"/>
      <c r="M5" s="35"/>
      <c r="N5" s="639" t="s">
        <v>161</v>
      </c>
      <c r="O5" s="595"/>
      <c r="P5" s="625"/>
      <c r="Q5" s="625"/>
      <c r="R5" s="625"/>
      <c r="S5" s="625"/>
      <c r="T5" s="626"/>
      <c r="U5" s="37"/>
      <c r="V5" s="5"/>
      <c r="W5" s="34"/>
      <c r="X5" s="39" t="s">
        <v>162</v>
      </c>
      <c r="Y5" s="35"/>
      <c r="Z5" s="35"/>
      <c r="AA5" s="627">
        <f>C8</f>
        <v>9130308020</v>
      </c>
      <c r="AB5" s="628"/>
      <c r="AC5" s="628"/>
      <c r="AD5" s="628"/>
      <c r="AE5" s="628"/>
      <c r="AF5" s="628"/>
      <c r="AG5" s="629"/>
      <c r="AH5" s="35"/>
      <c r="AI5" s="35"/>
      <c r="AJ5" s="39" t="s">
        <v>163</v>
      </c>
      <c r="AK5" s="35"/>
      <c r="AL5" s="35"/>
      <c r="AM5" s="35"/>
      <c r="AN5" s="35"/>
      <c r="AO5" s="640">
        <f>C5</f>
        <v>913</v>
      </c>
      <c r="AP5" s="641"/>
      <c r="AQ5" s="641"/>
      <c r="AR5" s="642"/>
      <c r="AS5" s="37"/>
    </row>
    <row r="6" spans="1:45" ht="15">
      <c r="A6" s="40" t="s">
        <v>164</v>
      </c>
      <c r="B6" s="35" t="s">
        <v>76</v>
      </c>
      <c r="C6" s="623" t="str">
        <f>DATA!I15</f>
        <v>STO, Pathikonda</v>
      </c>
      <c r="D6" s="623"/>
      <c r="E6" s="623"/>
      <c r="F6" s="623"/>
      <c r="G6" s="623"/>
      <c r="H6" s="623"/>
      <c r="I6" s="35"/>
      <c r="J6" s="35"/>
      <c r="K6" s="35"/>
      <c r="L6" s="35"/>
      <c r="M6" s="35"/>
      <c r="N6" s="41"/>
      <c r="O6" s="42"/>
      <c r="P6" s="42"/>
      <c r="Q6" s="42"/>
      <c r="R6" s="42"/>
      <c r="S6" s="42"/>
      <c r="T6" s="43"/>
      <c r="U6" s="37"/>
      <c r="V6" s="5"/>
      <c r="W6" s="34"/>
      <c r="X6" s="35"/>
      <c r="Y6" s="35"/>
      <c r="Z6" s="35"/>
      <c r="AA6" s="35"/>
      <c r="AB6" s="35"/>
      <c r="AC6" s="35"/>
      <c r="AD6" s="35"/>
      <c r="AE6" s="35"/>
      <c r="AF6" s="35"/>
      <c r="AG6" s="35"/>
      <c r="AH6" s="35"/>
      <c r="AI6" s="35"/>
      <c r="AJ6" s="35"/>
      <c r="AK6" s="35"/>
      <c r="AL6" s="35"/>
      <c r="AM6" s="35"/>
      <c r="AN6" s="35"/>
      <c r="AO6" s="35"/>
      <c r="AP6" s="35"/>
      <c r="AQ6" s="35"/>
      <c r="AR6" s="35"/>
      <c r="AS6" s="37"/>
    </row>
    <row r="7" spans="1:45" ht="6" customHeight="1">
      <c r="A7" s="34"/>
      <c r="B7" s="35"/>
      <c r="C7" s="35"/>
      <c r="D7" s="35"/>
      <c r="E7" s="35"/>
      <c r="F7" s="35"/>
      <c r="G7" s="35"/>
      <c r="H7" s="35"/>
      <c r="I7" s="35"/>
      <c r="J7" s="35"/>
      <c r="K7" s="35"/>
      <c r="L7" s="35"/>
      <c r="M7" s="35"/>
      <c r="N7" s="41"/>
      <c r="O7" s="35"/>
      <c r="P7" s="35"/>
      <c r="Q7" s="35"/>
      <c r="R7" s="35"/>
      <c r="S7" s="35"/>
      <c r="T7" s="44"/>
      <c r="U7" s="37"/>
      <c r="V7" s="5"/>
      <c r="W7" s="34"/>
      <c r="X7" s="35"/>
      <c r="Y7" s="35"/>
      <c r="Z7" s="35"/>
      <c r="AA7" s="35"/>
      <c r="AB7" s="35"/>
      <c r="AC7" s="35"/>
      <c r="AD7" s="35"/>
      <c r="AE7" s="35"/>
      <c r="AF7" s="35"/>
      <c r="AG7" s="35"/>
      <c r="AH7" s="35"/>
      <c r="AI7" s="35"/>
      <c r="AJ7" s="35"/>
      <c r="AK7" s="35"/>
      <c r="AL7" s="35"/>
      <c r="AM7" s="35"/>
      <c r="AN7" s="35"/>
      <c r="AO7" s="35"/>
      <c r="AP7" s="35"/>
      <c r="AQ7" s="35"/>
      <c r="AR7" s="35"/>
      <c r="AS7" s="37"/>
    </row>
    <row r="8" spans="1:45" ht="15">
      <c r="A8" s="40" t="s">
        <v>165</v>
      </c>
      <c r="B8" s="35" t="s">
        <v>76</v>
      </c>
      <c r="C8" s="630">
        <f>DATA!D15</f>
        <v>9130308020</v>
      </c>
      <c r="D8" s="631"/>
      <c r="E8" s="631"/>
      <c r="F8" s="631"/>
      <c r="G8" s="631"/>
      <c r="H8" s="632"/>
      <c r="I8" s="35"/>
      <c r="J8" s="35"/>
      <c r="K8" s="35"/>
      <c r="L8" s="35"/>
      <c r="M8" s="35"/>
      <c r="N8" s="41" t="s">
        <v>166</v>
      </c>
      <c r="O8" s="35"/>
      <c r="P8" s="499"/>
      <c r="Q8" s="633"/>
      <c r="R8" s="633"/>
      <c r="S8" s="633"/>
      <c r="T8" s="500"/>
      <c r="U8" s="37"/>
      <c r="V8" s="5"/>
      <c r="W8" s="34"/>
      <c r="X8" s="39" t="s">
        <v>495</v>
      </c>
      <c r="Y8" s="35"/>
      <c r="Z8" s="35"/>
      <c r="AA8" s="35"/>
      <c r="AB8" s="634" t="str">
        <f>C10</f>
        <v>Mandal Educational Officer</v>
      </c>
      <c r="AC8" s="634"/>
      <c r="AD8" s="634"/>
      <c r="AE8" s="634"/>
      <c r="AF8" s="634"/>
      <c r="AG8" s="634"/>
      <c r="AH8" s="634"/>
      <c r="AI8" s="45" t="s">
        <v>167</v>
      </c>
      <c r="AJ8" s="35"/>
      <c r="AK8" s="35"/>
      <c r="AL8" s="35"/>
      <c r="AM8" s="35"/>
      <c r="AN8" s="597" t="str">
        <f>DATA!I15</f>
        <v>STO, Pathikonda</v>
      </c>
      <c r="AO8" s="597"/>
      <c r="AP8" s="597"/>
      <c r="AQ8" s="597"/>
      <c r="AR8" s="597"/>
      <c r="AS8" s="37"/>
    </row>
    <row r="9" spans="1:45" ht="15">
      <c r="A9" s="34"/>
      <c r="B9" s="35"/>
      <c r="C9" s="35"/>
      <c r="D9" s="35"/>
      <c r="E9" s="35"/>
      <c r="F9" s="35"/>
      <c r="G9" s="35"/>
      <c r="H9" s="35"/>
      <c r="I9" s="35"/>
      <c r="J9" s="35"/>
      <c r="K9" s="35"/>
      <c r="L9" s="35"/>
      <c r="M9" s="35"/>
      <c r="N9" s="46"/>
      <c r="O9" s="47"/>
      <c r="P9" s="206"/>
      <c r="Q9" s="206"/>
      <c r="R9" s="206"/>
      <c r="S9" s="206"/>
      <c r="T9" s="207"/>
      <c r="U9" s="37"/>
      <c r="V9" s="5"/>
      <c r="W9" s="34"/>
      <c r="X9" s="35"/>
      <c r="Y9" s="35"/>
      <c r="Z9" s="35"/>
      <c r="AA9" s="35"/>
      <c r="AB9" s="35"/>
      <c r="AC9" s="35"/>
      <c r="AD9" s="35"/>
      <c r="AE9" s="35"/>
      <c r="AF9" s="35"/>
      <c r="AG9" s="35"/>
      <c r="AH9" s="35"/>
      <c r="AI9" s="35"/>
      <c r="AJ9" s="35"/>
      <c r="AK9" s="35"/>
      <c r="AL9" s="35"/>
      <c r="AM9" s="35"/>
      <c r="AN9" s="35"/>
      <c r="AO9" s="35"/>
      <c r="AP9" s="35"/>
      <c r="AQ9" s="35"/>
      <c r="AR9" s="35"/>
      <c r="AS9" s="37"/>
    </row>
    <row r="10" spans="1:45" ht="15">
      <c r="A10" s="635" t="s">
        <v>495</v>
      </c>
      <c r="B10" s="636"/>
      <c r="C10" s="607" t="str">
        <f>'APTC-47'!F12</f>
        <v>Mandal Educational Officer</v>
      </c>
      <c r="D10" s="607"/>
      <c r="E10" s="607"/>
      <c r="F10" s="607"/>
      <c r="G10" s="607"/>
      <c r="H10" s="607"/>
      <c r="I10" s="48" t="s">
        <v>494</v>
      </c>
      <c r="J10" s="35"/>
      <c r="K10" s="35"/>
      <c r="L10" s="35"/>
      <c r="M10" s="637" t="str">
        <f>'APTC-47'!R12</f>
        <v>Mandal Educational Officer, Mandal Parishad</v>
      </c>
      <c r="N10" s="637"/>
      <c r="O10" s="637"/>
      <c r="P10" s="637"/>
      <c r="Q10" s="637"/>
      <c r="R10" s="637"/>
      <c r="S10" s="637"/>
      <c r="T10" s="350"/>
      <c r="U10" s="351"/>
      <c r="V10" s="5"/>
      <c r="W10" s="34"/>
      <c r="X10" s="35"/>
      <c r="Y10" s="35"/>
      <c r="Z10" s="35"/>
      <c r="AA10" s="35"/>
      <c r="AB10" s="35"/>
      <c r="AC10" s="35"/>
      <c r="AD10" s="35"/>
      <c r="AE10" s="35"/>
      <c r="AF10" s="35"/>
      <c r="AG10" s="35"/>
      <c r="AH10" s="35"/>
      <c r="AI10" s="35"/>
      <c r="AJ10" s="35"/>
      <c r="AK10" s="35"/>
      <c r="AL10" s="35"/>
      <c r="AM10" s="35"/>
      <c r="AN10" s="35"/>
      <c r="AO10" s="35"/>
      <c r="AP10" s="35"/>
      <c r="AQ10" s="35"/>
      <c r="AR10" s="35"/>
      <c r="AS10" s="37"/>
    </row>
    <row r="11" spans="1:45" ht="10.5" customHeight="1">
      <c r="A11" s="34"/>
      <c r="B11" s="35"/>
      <c r="C11" s="35"/>
      <c r="D11" s="35"/>
      <c r="E11" s="35"/>
      <c r="F11" s="35"/>
      <c r="G11" s="35"/>
      <c r="H11" s="35"/>
      <c r="I11" s="35"/>
      <c r="J11" s="35"/>
      <c r="K11" s="35"/>
      <c r="L11" s="35"/>
      <c r="M11" s="637"/>
      <c r="N11" s="637"/>
      <c r="O11" s="637"/>
      <c r="P11" s="637"/>
      <c r="Q11" s="637"/>
      <c r="R11" s="637"/>
      <c r="S11" s="637"/>
      <c r="T11" s="346"/>
      <c r="U11" s="347"/>
      <c r="V11" s="5"/>
      <c r="W11" s="34"/>
      <c r="X11" s="35"/>
      <c r="Y11" s="35"/>
      <c r="Z11" s="35"/>
      <c r="AA11" s="35"/>
      <c r="AB11" s="35"/>
      <c r="AC11" s="35"/>
      <c r="AD11" s="35"/>
      <c r="AE11" s="35"/>
      <c r="AF11" s="35"/>
      <c r="AG11" s="35"/>
      <c r="AH11" s="35"/>
      <c r="AI11" s="35"/>
      <c r="AJ11" s="35"/>
      <c r="AK11" s="35"/>
      <c r="AL11" s="35"/>
      <c r="AM11" s="35"/>
      <c r="AN11" s="35"/>
      <c r="AO11" s="35"/>
      <c r="AP11" s="35"/>
      <c r="AQ11" s="35"/>
      <c r="AR11" s="35"/>
      <c r="AS11" s="37"/>
    </row>
    <row r="12" spans="1:45" ht="15">
      <c r="A12" s="40" t="s">
        <v>156</v>
      </c>
      <c r="B12" s="35"/>
      <c r="C12" s="35"/>
      <c r="D12" s="35" t="s">
        <v>76</v>
      </c>
      <c r="E12" s="622">
        <f>DATA!I16</f>
        <v>981</v>
      </c>
      <c r="F12" s="623"/>
      <c r="G12" s="623"/>
      <c r="H12" s="624"/>
      <c r="I12" s="639" t="s">
        <v>168</v>
      </c>
      <c r="J12" s="595"/>
      <c r="K12" s="595"/>
      <c r="L12" s="643" t="str">
        <f>DATA!D16</f>
        <v>State Bank of India, Pathikonda</v>
      </c>
      <c r="M12" s="643"/>
      <c r="N12" s="643"/>
      <c r="O12" s="643"/>
      <c r="P12" s="643"/>
      <c r="Q12" s="643"/>
      <c r="R12" s="643"/>
      <c r="S12" s="643"/>
      <c r="T12" s="643"/>
      <c r="U12" s="37"/>
      <c r="V12" s="5"/>
      <c r="W12" s="34"/>
      <c r="X12" s="49" t="s">
        <v>169</v>
      </c>
      <c r="Y12" s="35"/>
      <c r="Z12" s="35"/>
      <c r="AA12" s="35"/>
      <c r="AB12" s="35"/>
      <c r="AC12" s="35"/>
      <c r="AD12" s="35"/>
      <c r="AE12" s="35"/>
      <c r="AF12" s="35"/>
      <c r="AG12" s="35"/>
      <c r="AH12" s="35"/>
      <c r="AI12" s="35"/>
      <c r="AJ12" s="35"/>
      <c r="AK12" s="35"/>
      <c r="AL12" s="35"/>
      <c r="AM12" s="35"/>
      <c r="AN12" s="35"/>
      <c r="AO12" s="35"/>
      <c r="AP12" s="35"/>
      <c r="AQ12" s="35"/>
      <c r="AR12" s="35"/>
      <c r="AS12" s="37"/>
    </row>
    <row r="13" spans="1:45" ht="15">
      <c r="A13" s="34"/>
      <c r="B13" s="35"/>
      <c r="C13" s="35"/>
      <c r="D13" s="35"/>
      <c r="E13" s="35"/>
      <c r="F13" s="35"/>
      <c r="G13" s="35"/>
      <c r="H13" s="35"/>
      <c r="I13" s="35"/>
      <c r="J13" s="35"/>
      <c r="K13" s="35"/>
      <c r="L13" s="35"/>
      <c r="M13" s="35"/>
      <c r="N13" s="35"/>
      <c r="O13" s="35"/>
      <c r="P13" s="35"/>
      <c r="Q13" s="35"/>
      <c r="R13" s="35"/>
      <c r="S13" s="35"/>
      <c r="T13" s="35"/>
      <c r="U13" s="37"/>
      <c r="V13" s="5"/>
      <c r="W13" s="34"/>
      <c r="X13" s="39"/>
      <c r="Y13" s="35"/>
      <c r="Z13" s="35"/>
      <c r="AA13" s="35"/>
      <c r="AB13" s="35"/>
      <c r="AC13" s="35"/>
      <c r="AD13" s="35"/>
      <c r="AE13" s="35"/>
      <c r="AF13" s="35"/>
      <c r="AG13" s="35"/>
      <c r="AH13" s="35"/>
      <c r="AI13" s="35"/>
      <c r="AJ13" s="35"/>
      <c r="AK13" s="35"/>
      <c r="AL13" s="35"/>
      <c r="AM13" s="35"/>
      <c r="AN13" s="35"/>
      <c r="AO13" s="35"/>
      <c r="AP13" s="35"/>
      <c r="AQ13" s="35"/>
      <c r="AR13" s="35"/>
      <c r="AS13" s="37"/>
    </row>
    <row r="14" spans="1:45" ht="15">
      <c r="A14" s="34" t="s">
        <v>96</v>
      </c>
      <c r="B14" s="35"/>
      <c r="C14" s="35"/>
      <c r="D14" s="35" t="s">
        <v>76</v>
      </c>
      <c r="E14" s="50">
        <f>IF(DATA!R161=5,"",2)</f>
        <v>2</v>
      </c>
      <c r="F14" s="50">
        <f>IF(DATA!R161=5,"",2)</f>
        <v>2</v>
      </c>
      <c r="G14" s="50">
        <f>IF(DATA!R161=5,"",0)</f>
        <v>0</v>
      </c>
      <c r="H14" s="50">
        <f>IF(DATA!R161=5,"",2)</f>
        <v>2</v>
      </c>
      <c r="I14" s="35"/>
      <c r="J14" s="35"/>
      <c r="K14" s="50">
        <v>0</v>
      </c>
      <c r="L14" s="50">
        <f>'APTC-47'!F21</f>
        <v>2</v>
      </c>
      <c r="M14" s="35"/>
      <c r="N14" s="50">
        <v>1</v>
      </c>
      <c r="O14" s="50">
        <f>'APTC-47'!F23</f>
        <v>9</v>
      </c>
      <c r="P14" s="50">
        <f>'APTC-47'!G23</f>
        <v>1</v>
      </c>
      <c r="Q14" s="35"/>
      <c r="R14" s="50" t="s">
        <v>383</v>
      </c>
      <c r="S14" s="50" t="s">
        <v>383</v>
      </c>
      <c r="T14" s="35"/>
      <c r="U14" s="37"/>
      <c r="V14" s="5"/>
      <c r="W14" s="34"/>
      <c r="X14" s="49" t="s">
        <v>170</v>
      </c>
      <c r="Y14" s="35"/>
      <c r="Z14" s="35"/>
      <c r="AA14" s="35"/>
      <c r="AB14" s="35"/>
      <c r="AC14" s="35"/>
      <c r="AD14" s="35"/>
      <c r="AE14" s="35"/>
      <c r="AF14" s="35"/>
      <c r="AG14" s="35"/>
      <c r="AH14" s="35"/>
      <c r="AI14" s="35"/>
      <c r="AJ14" s="35"/>
      <c r="AK14" s="35"/>
      <c r="AL14" s="35"/>
      <c r="AM14" s="35"/>
      <c r="AN14" s="35"/>
      <c r="AO14" s="35"/>
      <c r="AP14" s="35"/>
      <c r="AQ14" s="35"/>
      <c r="AR14" s="35"/>
      <c r="AS14" s="37"/>
    </row>
    <row r="15" spans="1:45" ht="15">
      <c r="A15" s="34"/>
      <c r="B15" s="35"/>
      <c r="C15" s="35"/>
      <c r="D15" s="35"/>
      <c r="E15" s="35"/>
      <c r="F15" s="35"/>
      <c r="G15" s="35"/>
      <c r="H15" s="35"/>
      <c r="I15" s="35"/>
      <c r="J15" s="35"/>
      <c r="K15" s="35" t="s">
        <v>171</v>
      </c>
      <c r="L15" s="35"/>
      <c r="M15" s="35"/>
      <c r="N15" s="35" t="s">
        <v>172</v>
      </c>
      <c r="O15" s="35"/>
      <c r="P15" s="35"/>
      <c r="Q15" s="35"/>
      <c r="R15" s="35" t="s">
        <v>173</v>
      </c>
      <c r="S15" s="35"/>
      <c r="T15" s="35"/>
      <c r="U15" s="37"/>
      <c r="V15" s="5"/>
      <c r="W15" s="34"/>
      <c r="X15" s="35"/>
      <c r="Y15" s="35"/>
      <c r="Z15" s="35"/>
      <c r="AA15" s="35"/>
      <c r="AB15" s="35"/>
      <c r="AC15" s="35"/>
      <c r="AD15" s="35"/>
      <c r="AE15" s="35"/>
      <c r="AF15" s="35"/>
      <c r="AG15" s="35"/>
      <c r="AH15" s="35"/>
      <c r="AI15" s="35"/>
      <c r="AJ15" s="35"/>
      <c r="AK15" s="35"/>
      <c r="AL15" s="35"/>
      <c r="AM15" s="35"/>
      <c r="AN15" s="35"/>
      <c r="AO15" s="35"/>
      <c r="AP15" s="35"/>
      <c r="AQ15" s="35"/>
      <c r="AR15" s="35"/>
      <c r="AS15" s="37"/>
    </row>
    <row r="16" spans="1:45" ht="6" customHeight="1">
      <c r="A16" s="34"/>
      <c r="B16" s="35"/>
      <c r="C16" s="35"/>
      <c r="D16" s="35"/>
      <c r="E16" s="35"/>
      <c r="F16" s="35"/>
      <c r="G16" s="35"/>
      <c r="H16" s="35"/>
      <c r="I16" s="35"/>
      <c r="J16" s="35"/>
      <c r="K16" s="35"/>
      <c r="L16" s="35"/>
      <c r="M16" s="35"/>
      <c r="N16" s="35"/>
      <c r="O16" s="35"/>
      <c r="P16" s="35"/>
      <c r="Q16" s="35"/>
      <c r="R16" s="35"/>
      <c r="S16" s="35"/>
      <c r="T16" s="35"/>
      <c r="U16" s="37"/>
      <c r="V16" s="5"/>
      <c r="W16" s="34"/>
      <c r="X16" s="35"/>
      <c r="Y16" s="35"/>
      <c r="Z16" s="35"/>
      <c r="AA16" s="35"/>
      <c r="AB16" s="35"/>
      <c r="AC16" s="35"/>
      <c r="AD16" s="35"/>
      <c r="AE16" s="35"/>
      <c r="AF16" s="35"/>
      <c r="AG16" s="35"/>
      <c r="AH16" s="35"/>
      <c r="AI16" s="35"/>
      <c r="AJ16" s="35"/>
      <c r="AK16" s="35"/>
      <c r="AL16" s="35"/>
      <c r="AM16" s="35"/>
      <c r="AN16" s="35"/>
      <c r="AO16" s="35"/>
      <c r="AP16" s="35"/>
      <c r="AQ16" s="35"/>
      <c r="AR16" s="35"/>
      <c r="AS16" s="37"/>
    </row>
    <row r="17" spans="1:45" ht="15">
      <c r="A17" s="51"/>
      <c r="B17" s="52"/>
      <c r="C17" s="52"/>
      <c r="D17" s="52"/>
      <c r="E17" s="608">
        <f>'APTC-47'!E27</f>
        <v>0</v>
      </c>
      <c r="F17" s="609"/>
      <c r="G17" s="608">
        <f>'APTC-47'!F27</f>
        <v>5</v>
      </c>
      <c r="H17" s="609"/>
      <c r="I17" s="52"/>
      <c r="J17" s="52"/>
      <c r="K17" s="50">
        <v>0</v>
      </c>
      <c r="L17" s="208">
        <v>1</v>
      </c>
      <c r="M17" s="608">
        <v>0</v>
      </c>
      <c r="N17" s="609"/>
      <c r="O17" s="52"/>
      <c r="P17" s="50">
        <v>0</v>
      </c>
      <c r="Q17" s="50">
        <v>1</v>
      </c>
      <c r="R17" s="50">
        <v>0</v>
      </c>
      <c r="S17" s="52"/>
      <c r="T17" s="52"/>
      <c r="U17" s="53"/>
      <c r="V17" s="54"/>
      <c r="W17" s="51"/>
      <c r="X17" s="55"/>
      <c r="Y17" s="55"/>
      <c r="Z17" s="55"/>
      <c r="AA17" s="55" t="s">
        <v>174</v>
      </c>
      <c r="AB17" s="55"/>
      <c r="AC17" s="55"/>
      <c r="AD17" s="55"/>
      <c r="AE17" s="55"/>
      <c r="AF17" s="644"/>
      <c r="AG17" s="644"/>
      <c r="AH17" s="644"/>
      <c r="AI17" s="638" t="s">
        <v>175</v>
      </c>
      <c r="AJ17" s="638"/>
      <c r="AK17" s="610"/>
      <c r="AL17" s="610"/>
      <c r="AM17" s="610"/>
      <c r="AN17" s="56" t="s">
        <v>176</v>
      </c>
      <c r="AO17" s="55"/>
      <c r="AP17" s="601">
        <f>Q24</f>
        <v>3859</v>
      </c>
      <c r="AQ17" s="601"/>
      <c r="AR17" s="601"/>
      <c r="AS17" s="602"/>
    </row>
    <row r="18" spans="1:47" ht="15">
      <c r="A18" s="34"/>
      <c r="B18" s="35"/>
      <c r="C18" s="35"/>
      <c r="D18" s="35"/>
      <c r="E18" s="606" t="s">
        <v>177</v>
      </c>
      <c r="F18" s="606"/>
      <c r="G18" s="606"/>
      <c r="H18" s="606"/>
      <c r="I18" s="35"/>
      <c r="J18" s="35"/>
      <c r="K18" s="606" t="s">
        <v>178</v>
      </c>
      <c r="L18" s="606"/>
      <c r="M18" s="606"/>
      <c r="N18" s="606"/>
      <c r="O18" s="35"/>
      <c r="P18" s="606" t="s">
        <v>179</v>
      </c>
      <c r="Q18" s="606"/>
      <c r="R18" s="606"/>
      <c r="S18" s="35"/>
      <c r="T18" s="35"/>
      <c r="U18" s="37"/>
      <c r="V18" s="5"/>
      <c r="W18" s="34"/>
      <c r="X18" s="57"/>
      <c r="Y18" s="57"/>
      <c r="Z18" s="57"/>
      <c r="AA18" s="57"/>
      <c r="AB18" s="57"/>
      <c r="AC18" s="57"/>
      <c r="AD18" s="57"/>
      <c r="AE18" s="57"/>
      <c r="AF18" s="57"/>
      <c r="AG18" s="57"/>
      <c r="AH18" s="57"/>
      <c r="AI18" s="57"/>
      <c r="AJ18" s="57"/>
      <c r="AK18" s="57"/>
      <c r="AL18" s="57"/>
      <c r="AM18" s="57"/>
      <c r="AN18" s="57"/>
      <c r="AO18" s="57"/>
      <c r="AP18" s="57"/>
      <c r="AQ18" s="57"/>
      <c r="AR18" s="57"/>
      <c r="AS18" s="58"/>
      <c r="AU18" s="5"/>
    </row>
    <row r="19" spans="1:45" ht="15">
      <c r="A19" s="34"/>
      <c r="B19" s="35"/>
      <c r="C19" s="35"/>
      <c r="D19" s="35"/>
      <c r="E19" s="35"/>
      <c r="F19" s="35"/>
      <c r="G19" s="35"/>
      <c r="H19" s="35"/>
      <c r="I19" s="35"/>
      <c r="J19" s="35"/>
      <c r="K19" s="35"/>
      <c r="L19" s="35"/>
      <c r="M19" s="35"/>
      <c r="N19" s="35"/>
      <c r="O19" s="35"/>
      <c r="P19" s="35"/>
      <c r="Q19" s="35"/>
      <c r="R19" s="35"/>
      <c r="S19" s="35"/>
      <c r="T19" s="35"/>
      <c r="U19" s="37"/>
      <c r="V19" s="5"/>
      <c r="W19" s="34"/>
      <c r="X19" s="57" t="s">
        <v>180</v>
      </c>
      <c r="Y19" s="57"/>
      <c r="Z19" s="57"/>
      <c r="AA19" s="57"/>
      <c r="AB19" s="597" t="str">
        <f>C26</f>
        <v>  Three Thousands Eight Hundred and Fifty Nine rupees only  only</v>
      </c>
      <c r="AC19" s="597"/>
      <c r="AD19" s="597"/>
      <c r="AE19" s="597"/>
      <c r="AF19" s="597"/>
      <c r="AG19" s="597"/>
      <c r="AH19" s="597"/>
      <c r="AI19" s="597"/>
      <c r="AJ19" s="597"/>
      <c r="AK19" s="597"/>
      <c r="AL19" s="597"/>
      <c r="AM19" s="597"/>
      <c r="AN19" s="597"/>
      <c r="AO19" s="597"/>
      <c r="AP19" s="597"/>
      <c r="AQ19" s="597"/>
      <c r="AR19" s="597"/>
      <c r="AS19" s="59"/>
    </row>
    <row r="20" spans="1:45" ht="15">
      <c r="A20" s="60" t="s">
        <v>181</v>
      </c>
      <c r="B20" s="61" t="s">
        <v>182</v>
      </c>
      <c r="C20" s="62" t="s">
        <v>115</v>
      </c>
      <c r="D20" s="61"/>
      <c r="E20" s="61" t="s">
        <v>183</v>
      </c>
      <c r="F20" s="61"/>
      <c r="G20" s="61"/>
      <c r="H20" s="62" t="s">
        <v>117</v>
      </c>
      <c r="I20" s="61"/>
      <c r="J20" s="61"/>
      <c r="K20" s="63" t="s">
        <v>184</v>
      </c>
      <c r="L20" s="61"/>
      <c r="M20" s="61"/>
      <c r="N20" s="61"/>
      <c r="O20" s="61"/>
      <c r="P20" s="50">
        <v>2</v>
      </c>
      <c r="Q20" s="50">
        <v>2</v>
      </c>
      <c r="R20" s="50">
        <v>0</v>
      </c>
      <c r="S20" s="50">
        <v>2</v>
      </c>
      <c r="T20" s="61"/>
      <c r="U20" s="64"/>
      <c r="V20" s="23"/>
      <c r="W20" s="65"/>
      <c r="X20" s="66"/>
      <c r="Y20" s="66"/>
      <c r="Z20" s="66"/>
      <c r="AA20" s="66"/>
      <c r="AB20" s="66"/>
      <c r="AC20" s="66"/>
      <c r="AD20" s="66"/>
      <c r="AE20" s="66"/>
      <c r="AF20" s="66"/>
      <c r="AG20" s="66"/>
      <c r="AH20" s="66"/>
      <c r="AI20" s="66"/>
      <c r="AJ20" s="66"/>
      <c r="AK20" s="66"/>
      <c r="AL20" s="66"/>
      <c r="AM20" s="66"/>
      <c r="AN20" s="66"/>
      <c r="AO20" s="66"/>
      <c r="AP20" s="66"/>
      <c r="AQ20" s="66"/>
      <c r="AR20" s="66"/>
      <c r="AS20" s="64"/>
    </row>
    <row r="21" spans="1:45" ht="15">
      <c r="A21" s="65"/>
      <c r="B21" s="61"/>
      <c r="C21" s="61"/>
      <c r="D21" s="61"/>
      <c r="E21" s="61" t="s">
        <v>185</v>
      </c>
      <c r="F21" s="61"/>
      <c r="G21" s="61"/>
      <c r="H21" s="61"/>
      <c r="I21" s="61"/>
      <c r="J21" s="61"/>
      <c r="K21" s="61" t="s">
        <v>186</v>
      </c>
      <c r="L21" s="61"/>
      <c r="M21" s="61"/>
      <c r="N21" s="61"/>
      <c r="O21" s="61"/>
      <c r="P21" s="61"/>
      <c r="Q21" s="61"/>
      <c r="R21" s="61"/>
      <c r="S21" s="61"/>
      <c r="T21" s="61"/>
      <c r="U21" s="64"/>
      <c r="V21" s="23"/>
      <c r="W21" s="65"/>
      <c r="X21" s="66" t="s">
        <v>187</v>
      </c>
      <c r="Y21" s="66"/>
      <c r="Z21" s="66"/>
      <c r="AA21" s="605" t="str">
        <f>DATA!M16</f>
        <v>P.Prakash</v>
      </c>
      <c r="AB21" s="605"/>
      <c r="AC21" s="605"/>
      <c r="AD21" s="605"/>
      <c r="AE21" s="605"/>
      <c r="AF21" s="605"/>
      <c r="AG21" s="605"/>
      <c r="AH21" s="605"/>
      <c r="AI21" s="605"/>
      <c r="AJ21" s="605"/>
      <c r="AK21" s="605"/>
      <c r="AL21" s="605"/>
      <c r="AM21" s="605"/>
      <c r="AN21" s="605"/>
      <c r="AO21" s="605"/>
      <c r="AP21" s="603" t="s">
        <v>188</v>
      </c>
      <c r="AQ21" s="603"/>
      <c r="AR21" s="603"/>
      <c r="AS21" s="604"/>
    </row>
    <row r="22" spans="1:45" ht="6" customHeight="1">
      <c r="A22" s="34"/>
      <c r="B22" s="35"/>
      <c r="C22" s="35"/>
      <c r="D22" s="35"/>
      <c r="E22" s="35"/>
      <c r="F22" s="35"/>
      <c r="G22" s="35"/>
      <c r="H22" s="35"/>
      <c r="I22" s="35"/>
      <c r="J22" s="35"/>
      <c r="K22" s="35"/>
      <c r="L22" s="35"/>
      <c r="M22" s="35"/>
      <c r="N22" s="35"/>
      <c r="O22" s="35"/>
      <c r="P22" s="35"/>
      <c r="Q22" s="35"/>
      <c r="R22" s="35"/>
      <c r="S22" s="35"/>
      <c r="T22" s="35"/>
      <c r="U22" s="37"/>
      <c r="V22" s="5"/>
      <c r="W22" s="34"/>
      <c r="X22" s="67"/>
      <c r="Y22" s="67"/>
      <c r="Z22" s="67"/>
      <c r="AA22" s="67"/>
      <c r="AB22" s="67"/>
      <c r="AC22" s="67"/>
      <c r="AD22" s="67"/>
      <c r="AE22" s="67"/>
      <c r="AF22" s="67"/>
      <c r="AG22" s="67"/>
      <c r="AH22" s="67"/>
      <c r="AI22" s="67"/>
      <c r="AJ22" s="67"/>
      <c r="AK22" s="67"/>
      <c r="AL22" s="67"/>
      <c r="AM22" s="67"/>
      <c r="AN22" s="67"/>
      <c r="AO22" s="67"/>
      <c r="AP22" s="67"/>
      <c r="AQ22" s="67"/>
      <c r="AR22" s="67"/>
      <c r="AS22" s="37"/>
    </row>
    <row r="23" spans="1:45" ht="15">
      <c r="A23" s="34"/>
      <c r="B23" s="35"/>
      <c r="C23" s="35"/>
      <c r="D23" s="35"/>
      <c r="E23" s="35"/>
      <c r="F23" s="35"/>
      <c r="G23" s="35"/>
      <c r="H23" s="35"/>
      <c r="I23" s="35"/>
      <c r="J23" s="35"/>
      <c r="K23" s="35"/>
      <c r="L23" s="35"/>
      <c r="M23" s="35"/>
      <c r="N23" s="35"/>
      <c r="O23" s="35"/>
      <c r="P23" s="35"/>
      <c r="Q23" s="35"/>
      <c r="R23" s="35"/>
      <c r="S23" s="35"/>
      <c r="T23" s="35"/>
      <c r="U23" s="37"/>
      <c r="V23" s="5"/>
      <c r="W23" s="34"/>
      <c r="X23" s="67" t="s">
        <v>189</v>
      </c>
      <c r="Y23" s="67"/>
      <c r="Z23" s="605" t="str">
        <f>M10</f>
        <v>Mandal Educational Officer, Mandal Parishad</v>
      </c>
      <c r="AA23" s="605"/>
      <c r="AB23" s="605"/>
      <c r="AC23" s="605"/>
      <c r="AD23" s="605"/>
      <c r="AE23" s="605"/>
      <c r="AF23" s="605"/>
      <c r="AG23" s="605"/>
      <c r="AH23" s="605"/>
      <c r="AI23" s="605"/>
      <c r="AJ23" s="605"/>
      <c r="AK23" s="605"/>
      <c r="AL23" s="605"/>
      <c r="AM23" s="605"/>
      <c r="AN23" s="605"/>
      <c r="AO23" s="67" t="s">
        <v>190</v>
      </c>
      <c r="AP23" s="35"/>
      <c r="AQ23" s="35"/>
      <c r="AR23" s="67"/>
      <c r="AS23" s="37"/>
    </row>
    <row r="24" spans="1:45" ht="15">
      <c r="A24" s="34" t="s">
        <v>191</v>
      </c>
      <c r="B24" s="598">
        <f>'APTC-47'!H46</f>
        <v>3859</v>
      </c>
      <c r="C24" s="598"/>
      <c r="D24" s="598"/>
      <c r="E24" s="598"/>
      <c r="F24" s="598"/>
      <c r="G24" s="595" t="s">
        <v>192</v>
      </c>
      <c r="H24" s="595"/>
      <c r="I24" s="595"/>
      <c r="J24" s="595"/>
      <c r="K24" s="599">
        <f>'APTC-47'!H47</f>
        <v>0</v>
      </c>
      <c r="L24" s="598"/>
      <c r="M24" s="598"/>
      <c r="N24" s="598"/>
      <c r="O24" s="595" t="s">
        <v>193</v>
      </c>
      <c r="P24" s="595"/>
      <c r="Q24" s="598">
        <f>'APTC-47'!H48</f>
        <v>3859</v>
      </c>
      <c r="R24" s="598"/>
      <c r="S24" s="598"/>
      <c r="T24" s="598"/>
      <c r="U24" s="37"/>
      <c r="V24" s="5"/>
      <c r="W24" s="34"/>
      <c r="X24" s="67"/>
      <c r="Y24" s="67"/>
      <c r="Z24" s="67"/>
      <c r="AA24" s="67"/>
      <c r="AB24" s="67"/>
      <c r="AC24" s="67"/>
      <c r="AD24" s="67"/>
      <c r="AE24" s="67"/>
      <c r="AF24" s="67"/>
      <c r="AG24" s="67"/>
      <c r="AH24" s="67"/>
      <c r="AI24" s="67"/>
      <c r="AJ24" s="67"/>
      <c r="AK24" s="67"/>
      <c r="AL24" s="67"/>
      <c r="AM24" s="67"/>
      <c r="AN24" s="67"/>
      <c r="AO24" s="67"/>
      <c r="AP24" s="67"/>
      <c r="AQ24" s="67"/>
      <c r="AR24" s="67"/>
      <c r="AS24" s="37"/>
    </row>
    <row r="25" spans="1:45" ht="15">
      <c r="A25" s="34"/>
      <c r="B25" s="35"/>
      <c r="C25" s="35"/>
      <c r="D25" s="35"/>
      <c r="E25" s="35"/>
      <c r="F25" s="35"/>
      <c r="G25" s="35"/>
      <c r="H25" s="35"/>
      <c r="I25" s="35"/>
      <c r="J25" s="35"/>
      <c r="K25" s="35"/>
      <c r="L25" s="35"/>
      <c r="M25" s="35"/>
      <c r="N25" s="35"/>
      <c r="O25" s="35"/>
      <c r="P25" s="35"/>
      <c r="Q25" s="35"/>
      <c r="R25" s="35"/>
      <c r="S25" s="35"/>
      <c r="T25" s="35"/>
      <c r="U25" s="37"/>
      <c r="V25" s="5"/>
      <c r="W25" s="34"/>
      <c r="X25" s="67" t="s">
        <v>194</v>
      </c>
      <c r="Y25" s="67"/>
      <c r="Z25" s="67"/>
      <c r="AA25" s="67"/>
      <c r="AB25" s="67"/>
      <c r="AC25" s="67"/>
      <c r="AD25" s="67"/>
      <c r="AE25" s="67"/>
      <c r="AF25" s="67"/>
      <c r="AG25" s="67"/>
      <c r="AH25" s="67"/>
      <c r="AI25" s="67"/>
      <c r="AJ25" s="67"/>
      <c r="AK25" s="67"/>
      <c r="AL25" s="67"/>
      <c r="AM25" s="67"/>
      <c r="AN25" s="67"/>
      <c r="AO25" s="67"/>
      <c r="AP25" s="67"/>
      <c r="AQ25" s="67"/>
      <c r="AR25" s="67"/>
      <c r="AS25" s="37"/>
    </row>
    <row r="26" spans="1:45" ht="15">
      <c r="A26" s="34" t="s">
        <v>195</v>
      </c>
      <c r="B26" s="35"/>
      <c r="C26" s="597" t="str">
        <f>'APTC-47'!B50</f>
        <v>  Three Thousands Eight Hundred and Fifty Nine rupees only  only</v>
      </c>
      <c r="D26" s="597"/>
      <c r="E26" s="597"/>
      <c r="F26" s="597"/>
      <c r="G26" s="597"/>
      <c r="H26" s="597"/>
      <c r="I26" s="597"/>
      <c r="J26" s="597"/>
      <c r="K26" s="597"/>
      <c r="L26" s="597"/>
      <c r="M26" s="597"/>
      <c r="N26" s="597"/>
      <c r="O26" s="597"/>
      <c r="P26" s="597"/>
      <c r="Q26" s="597"/>
      <c r="R26" s="597"/>
      <c r="S26" s="597"/>
      <c r="T26" s="68"/>
      <c r="U26" s="37"/>
      <c r="V26" s="5"/>
      <c r="W26" s="34"/>
      <c r="X26" s="67"/>
      <c r="Y26" s="67"/>
      <c r="Z26" s="67"/>
      <c r="AA26" s="67"/>
      <c r="AB26" s="67"/>
      <c r="AC26" s="67"/>
      <c r="AD26" s="67"/>
      <c r="AE26" s="67"/>
      <c r="AF26" s="67"/>
      <c r="AG26" s="67"/>
      <c r="AH26" s="67"/>
      <c r="AI26" s="67"/>
      <c r="AJ26" s="67"/>
      <c r="AK26" s="67"/>
      <c r="AL26" s="67"/>
      <c r="AM26" s="67"/>
      <c r="AN26" s="67"/>
      <c r="AO26" s="67"/>
      <c r="AP26" s="67"/>
      <c r="AQ26" s="67"/>
      <c r="AR26" s="67"/>
      <c r="AS26" s="37"/>
    </row>
    <row r="27" spans="1:45" ht="8.25" customHeight="1">
      <c r="A27" s="34"/>
      <c r="B27" s="35"/>
      <c r="C27" s="35"/>
      <c r="D27" s="35"/>
      <c r="E27" s="35"/>
      <c r="F27" s="35"/>
      <c r="G27" s="35"/>
      <c r="H27" s="35"/>
      <c r="I27" s="35"/>
      <c r="J27" s="35"/>
      <c r="K27" s="35"/>
      <c r="L27" s="35"/>
      <c r="M27" s="35"/>
      <c r="N27" s="35"/>
      <c r="O27" s="35"/>
      <c r="P27" s="35"/>
      <c r="Q27" s="35"/>
      <c r="R27" s="35"/>
      <c r="S27" s="35"/>
      <c r="T27" s="35"/>
      <c r="U27" s="37"/>
      <c r="V27" s="5"/>
      <c r="W27" s="34"/>
      <c r="X27" s="67"/>
      <c r="Y27" s="67"/>
      <c r="Z27" s="67"/>
      <c r="AA27" s="67"/>
      <c r="AB27" s="67"/>
      <c r="AC27" s="67"/>
      <c r="AD27" s="67"/>
      <c r="AE27" s="67"/>
      <c r="AF27" s="67"/>
      <c r="AG27" s="67"/>
      <c r="AH27" s="67"/>
      <c r="AI27" s="67"/>
      <c r="AJ27" s="67"/>
      <c r="AK27" s="67"/>
      <c r="AL27" s="67"/>
      <c r="AM27" s="67"/>
      <c r="AN27" s="67"/>
      <c r="AO27" s="67"/>
      <c r="AP27" s="67"/>
      <c r="AQ27" s="67"/>
      <c r="AR27" s="67"/>
      <c r="AS27" s="37"/>
    </row>
    <row r="28" spans="1:45" ht="15">
      <c r="A28" s="34" t="s">
        <v>196</v>
      </c>
      <c r="B28" s="35"/>
      <c r="C28" s="35"/>
      <c r="D28" s="35" t="s">
        <v>76</v>
      </c>
      <c r="E28" s="600" t="str">
        <f>DATA!M16</f>
        <v>P.Prakash</v>
      </c>
      <c r="F28" s="600"/>
      <c r="G28" s="600"/>
      <c r="H28" s="600"/>
      <c r="I28" s="600"/>
      <c r="J28" s="35"/>
      <c r="K28" s="595" t="s">
        <v>197</v>
      </c>
      <c r="L28" s="595"/>
      <c r="M28" s="595"/>
      <c r="N28" s="595"/>
      <c r="O28" s="600"/>
      <c r="P28" s="600"/>
      <c r="Q28" s="600"/>
      <c r="R28" s="600"/>
      <c r="S28" s="600"/>
      <c r="T28" s="35"/>
      <c r="U28" s="37"/>
      <c r="V28" s="5"/>
      <c r="W28" s="34"/>
      <c r="X28" s="35"/>
      <c r="Y28" s="35"/>
      <c r="Z28" s="35"/>
      <c r="AA28" s="35"/>
      <c r="AB28" s="35"/>
      <c r="AC28" s="35"/>
      <c r="AD28" s="35"/>
      <c r="AE28" s="35"/>
      <c r="AF28" s="35"/>
      <c r="AG28" s="35"/>
      <c r="AH28" s="35"/>
      <c r="AI28" s="35"/>
      <c r="AJ28" s="35"/>
      <c r="AK28" s="35"/>
      <c r="AL28" s="35"/>
      <c r="AM28" s="35"/>
      <c r="AN28" s="35"/>
      <c r="AO28" s="35"/>
      <c r="AP28" s="35"/>
      <c r="AQ28" s="35"/>
      <c r="AR28" s="35"/>
      <c r="AS28" s="37"/>
    </row>
    <row r="29" spans="1:45" ht="15">
      <c r="A29" s="34" t="s">
        <v>198</v>
      </c>
      <c r="B29" s="35"/>
      <c r="C29" s="35"/>
      <c r="D29" s="35"/>
      <c r="E29" s="35"/>
      <c r="F29" s="35"/>
      <c r="G29" s="35"/>
      <c r="H29" s="35"/>
      <c r="I29" s="35"/>
      <c r="J29" s="35"/>
      <c r="K29" s="35"/>
      <c r="L29" s="35"/>
      <c r="M29" s="35"/>
      <c r="N29" s="35"/>
      <c r="O29" s="35"/>
      <c r="P29" s="35"/>
      <c r="Q29" s="35"/>
      <c r="R29" s="35"/>
      <c r="S29" s="35"/>
      <c r="T29" s="35"/>
      <c r="U29" s="37"/>
      <c r="V29" s="5"/>
      <c r="W29" s="34"/>
      <c r="X29" s="35"/>
      <c r="Y29" s="35"/>
      <c r="Z29" s="35"/>
      <c r="AA29" s="35"/>
      <c r="AB29" s="35"/>
      <c r="AC29" s="35"/>
      <c r="AD29" s="35"/>
      <c r="AE29" s="35"/>
      <c r="AF29" s="35"/>
      <c r="AG29" s="35"/>
      <c r="AH29" s="35"/>
      <c r="AI29" s="35"/>
      <c r="AJ29" s="35"/>
      <c r="AK29" s="35"/>
      <c r="AL29" s="35"/>
      <c r="AM29" s="35"/>
      <c r="AN29" s="35"/>
      <c r="AO29" s="35"/>
      <c r="AP29" s="35"/>
      <c r="AQ29" s="35"/>
      <c r="AR29" s="35"/>
      <c r="AS29" s="37"/>
    </row>
    <row r="30" spans="1:45" ht="15">
      <c r="A30" s="34"/>
      <c r="B30" s="35"/>
      <c r="C30" s="35"/>
      <c r="D30" s="35"/>
      <c r="E30" s="35"/>
      <c r="F30" s="35"/>
      <c r="G30" s="35"/>
      <c r="H30" s="35"/>
      <c r="I30" s="35"/>
      <c r="J30" s="35"/>
      <c r="K30" s="35"/>
      <c r="L30" s="35"/>
      <c r="M30" s="35"/>
      <c r="N30" s="35"/>
      <c r="O30" s="35"/>
      <c r="P30" s="35"/>
      <c r="Q30" s="35"/>
      <c r="R30" s="35"/>
      <c r="S30" s="35"/>
      <c r="T30" s="35"/>
      <c r="U30" s="37"/>
      <c r="V30" s="5"/>
      <c r="W30" s="34"/>
      <c r="X30" s="35" t="s">
        <v>199</v>
      </c>
      <c r="Y30" s="35"/>
      <c r="Z30" s="35"/>
      <c r="AA30" s="35"/>
      <c r="AB30" s="35"/>
      <c r="AC30" s="35"/>
      <c r="AD30" s="35"/>
      <c r="AE30" s="35"/>
      <c r="AF30" s="35"/>
      <c r="AG30" s="35"/>
      <c r="AH30" s="35"/>
      <c r="AI30" s="35"/>
      <c r="AJ30" s="35"/>
      <c r="AK30" s="35"/>
      <c r="AL30" s="35"/>
      <c r="AM30" s="35" t="s">
        <v>200</v>
      </c>
      <c r="AN30" s="35"/>
      <c r="AO30" s="35"/>
      <c r="AP30" s="35"/>
      <c r="AQ30" s="35"/>
      <c r="AR30" s="35"/>
      <c r="AS30" s="37"/>
    </row>
    <row r="31" spans="1:45" ht="15">
      <c r="A31" s="34"/>
      <c r="B31" s="35"/>
      <c r="C31" s="35"/>
      <c r="D31" s="35"/>
      <c r="E31" s="35"/>
      <c r="F31" s="35"/>
      <c r="G31" s="35"/>
      <c r="H31" s="35"/>
      <c r="I31" s="35"/>
      <c r="J31" s="35"/>
      <c r="K31" s="35"/>
      <c r="L31" s="35"/>
      <c r="M31" s="35"/>
      <c r="N31" s="35"/>
      <c r="O31" s="35"/>
      <c r="P31" s="35"/>
      <c r="Q31" s="35"/>
      <c r="R31" s="35"/>
      <c r="S31" s="35"/>
      <c r="T31" s="35"/>
      <c r="U31" s="37"/>
      <c r="V31" s="5"/>
      <c r="W31" s="34"/>
      <c r="X31" s="35"/>
      <c r="Y31" s="35"/>
      <c r="Z31" s="35"/>
      <c r="AA31" s="35"/>
      <c r="AB31" s="35"/>
      <c r="AC31" s="35"/>
      <c r="AD31" s="35"/>
      <c r="AE31" s="35"/>
      <c r="AF31" s="35"/>
      <c r="AG31" s="35"/>
      <c r="AH31" s="35"/>
      <c r="AI31" s="35"/>
      <c r="AJ31" s="35"/>
      <c r="AK31" s="35"/>
      <c r="AL31" s="35"/>
      <c r="AM31" s="35"/>
      <c r="AN31" s="35"/>
      <c r="AO31" s="35"/>
      <c r="AP31" s="35"/>
      <c r="AQ31" s="35"/>
      <c r="AR31" s="35"/>
      <c r="AS31" s="37"/>
    </row>
    <row r="32" spans="1:45" ht="15">
      <c r="A32" s="34" t="s">
        <v>201</v>
      </c>
      <c r="B32" s="35"/>
      <c r="C32" s="35"/>
      <c r="D32" s="35"/>
      <c r="E32" s="35"/>
      <c r="F32" s="35"/>
      <c r="G32" s="35"/>
      <c r="H32" s="35" t="s">
        <v>82</v>
      </c>
      <c r="I32" s="69"/>
      <c r="J32" s="69"/>
      <c r="K32" s="69"/>
      <c r="L32" s="69"/>
      <c r="M32" s="69"/>
      <c r="N32" s="69"/>
      <c r="O32" s="69"/>
      <c r="P32" s="70"/>
      <c r="Q32" s="70"/>
      <c r="R32" s="70"/>
      <c r="S32" s="70"/>
      <c r="T32" s="35"/>
      <c r="U32" s="37"/>
      <c r="V32" s="5"/>
      <c r="W32" s="34"/>
      <c r="X32" s="35" t="s">
        <v>155</v>
      </c>
      <c r="Y32" s="35"/>
      <c r="Z32" s="35"/>
      <c r="AA32" s="35"/>
      <c r="AB32" s="35"/>
      <c r="AC32" s="35"/>
      <c r="AD32" s="35"/>
      <c r="AE32" s="35"/>
      <c r="AF32" s="35"/>
      <c r="AG32" s="35"/>
      <c r="AH32" s="35"/>
      <c r="AI32" s="35"/>
      <c r="AJ32" s="35"/>
      <c r="AK32" s="35"/>
      <c r="AL32" s="35"/>
      <c r="AM32" s="35"/>
      <c r="AN32" s="35"/>
      <c r="AO32" s="35" t="s">
        <v>202</v>
      </c>
      <c r="AP32" s="35"/>
      <c r="AQ32" s="35"/>
      <c r="AR32" s="35"/>
      <c r="AS32" s="37"/>
    </row>
    <row r="33" spans="1:45" ht="15">
      <c r="A33" s="34"/>
      <c r="B33" s="35"/>
      <c r="C33" s="35"/>
      <c r="D33" s="35"/>
      <c r="E33" s="35"/>
      <c r="F33" s="35"/>
      <c r="G33" s="35"/>
      <c r="H33" s="35"/>
      <c r="I33" s="35"/>
      <c r="J33" s="35">
        <v>2728</v>
      </c>
      <c r="K33" s="35"/>
      <c r="L33" s="35"/>
      <c r="M33" s="35"/>
      <c r="N33" s="35"/>
      <c r="O33" s="35"/>
      <c r="P33" s="35"/>
      <c r="Q33" s="35"/>
      <c r="R33" s="35"/>
      <c r="S33" s="35"/>
      <c r="T33" s="35"/>
      <c r="U33" s="37"/>
      <c r="V33" s="5"/>
      <c r="W33" s="34"/>
      <c r="X33" s="35"/>
      <c r="Y33" s="35"/>
      <c r="Z33" s="35"/>
      <c r="AA33" s="35"/>
      <c r="AB33" s="35"/>
      <c r="AC33" s="35"/>
      <c r="AD33" s="35"/>
      <c r="AE33" s="35"/>
      <c r="AF33" s="35"/>
      <c r="AG33" s="35"/>
      <c r="AH33" s="35"/>
      <c r="AI33" s="35"/>
      <c r="AJ33" s="35"/>
      <c r="AK33" s="35"/>
      <c r="AL33" s="35"/>
      <c r="AM33" s="35"/>
      <c r="AN33" s="35"/>
      <c r="AO33" s="35"/>
      <c r="AP33" s="35"/>
      <c r="AQ33" s="35"/>
      <c r="AR33" s="35"/>
      <c r="AS33" s="37"/>
    </row>
    <row r="34" spans="1:45" ht="15">
      <c r="A34" s="34"/>
      <c r="B34" s="35"/>
      <c r="C34" s="35"/>
      <c r="D34" s="35"/>
      <c r="E34" s="35"/>
      <c r="F34" s="35"/>
      <c r="G34" s="35"/>
      <c r="H34" s="35" t="s">
        <v>83</v>
      </c>
      <c r="I34" s="69"/>
      <c r="J34" s="69"/>
      <c r="K34" s="69"/>
      <c r="L34" s="69"/>
      <c r="M34" s="69"/>
      <c r="N34" s="69"/>
      <c r="O34" s="69"/>
      <c r="P34" s="70"/>
      <c r="Q34" s="70"/>
      <c r="R34" s="70"/>
      <c r="S34" s="70"/>
      <c r="T34" s="35"/>
      <c r="U34" s="37"/>
      <c r="V34" s="5"/>
      <c r="W34" s="34"/>
      <c r="X34" s="35"/>
      <c r="Y34" s="35"/>
      <c r="Z34" s="35" t="s">
        <v>203</v>
      </c>
      <c r="AA34" s="35"/>
      <c r="AB34" s="35"/>
      <c r="AC34" s="35"/>
      <c r="AD34" s="35"/>
      <c r="AE34" s="35"/>
      <c r="AF34" s="35"/>
      <c r="AG34" s="35"/>
      <c r="AH34" s="35"/>
      <c r="AI34" s="35"/>
      <c r="AJ34" s="35"/>
      <c r="AK34" s="35"/>
      <c r="AL34" s="35"/>
      <c r="AM34" s="35"/>
      <c r="AN34" s="35"/>
      <c r="AO34" s="35"/>
      <c r="AP34" s="35"/>
      <c r="AQ34" s="35"/>
      <c r="AR34" s="35"/>
      <c r="AS34" s="37"/>
    </row>
    <row r="35" spans="1:45" ht="15">
      <c r="A35" s="34"/>
      <c r="B35" s="35"/>
      <c r="C35" s="35"/>
      <c r="D35" s="35"/>
      <c r="E35" s="35"/>
      <c r="F35" s="35"/>
      <c r="G35" s="35"/>
      <c r="H35" s="35"/>
      <c r="I35" s="205"/>
      <c r="J35" s="205">
        <v>479</v>
      </c>
      <c r="K35" s="205"/>
      <c r="L35" s="205"/>
      <c r="M35" s="205"/>
      <c r="N35" s="205"/>
      <c r="O35" s="205"/>
      <c r="P35" s="205"/>
      <c r="Q35" s="205"/>
      <c r="R35" s="205"/>
      <c r="S35" s="205"/>
      <c r="T35" s="35"/>
      <c r="U35" s="37"/>
      <c r="V35" s="5"/>
      <c r="W35" s="34"/>
      <c r="X35" s="35"/>
      <c r="Y35" s="35"/>
      <c r="Z35" s="35"/>
      <c r="AA35" s="35"/>
      <c r="AB35" s="35"/>
      <c r="AC35" s="35"/>
      <c r="AD35" s="35"/>
      <c r="AE35" s="35"/>
      <c r="AF35" s="35"/>
      <c r="AG35" s="35"/>
      <c r="AH35" s="35"/>
      <c r="AI35" s="35"/>
      <c r="AJ35" s="35"/>
      <c r="AK35" s="35"/>
      <c r="AL35" s="35"/>
      <c r="AM35" s="35"/>
      <c r="AN35" s="35"/>
      <c r="AO35" s="35"/>
      <c r="AP35" s="35"/>
      <c r="AQ35" s="35"/>
      <c r="AR35" s="35"/>
      <c r="AS35" s="37"/>
    </row>
    <row r="36" spans="1:45" ht="15">
      <c r="A36" s="34"/>
      <c r="B36" s="35"/>
      <c r="C36" s="35"/>
      <c r="D36" s="35"/>
      <c r="E36" s="35"/>
      <c r="F36" s="35"/>
      <c r="G36" s="35"/>
      <c r="H36" s="35"/>
      <c r="I36" s="35"/>
      <c r="J36" s="35"/>
      <c r="K36" s="35"/>
      <c r="L36" s="35"/>
      <c r="M36" s="35"/>
      <c r="N36" s="35"/>
      <c r="O36" s="35"/>
      <c r="P36" s="35"/>
      <c r="Q36" s="35"/>
      <c r="R36" s="35"/>
      <c r="S36" s="35"/>
      <c r="T36" s="35"/>
      <c r="U36" s="37"/>
      <c r="V36" s="5"/>
      <c r="W36" s="34"/>
      <c r="X36" s="35"/>
      <c r="Y36" s="35" t="s">
        <v>204</v>
      </c>
      <c r="Z36" s="35"/>
      <c r="AA36" s="35"/>
      <c r="AB36" s="35"/>
      <c r="AC36" s="35"/>
      <c r="AD36" s="35"/>
      <c r="AE36" s="35"/>
      <c r="AF36" s="35"/>
      <c r="AG36" s="35"/>
      <c r="AH36" s="35"/>
      <c r="AI36" s="35"/>
      <c r="AJ36" s="35"/>
      <c r="AK36" s="35"/>
      <c r="AL36" s="35"/>
      <c r="AM36" s="35" t="s">
        <v>205</v>
      </c>
      <c r="AN36" s="35"/>
      <c r="AO36" s="35"/>
      <c r="AP36" s="35"/>
      <c r="AQ36" s="35"/>
      <c r="AR36" s="35"/>
      <c r="AS36" s="37"/>
    </row>
    <row r="37" spans="1:45" ht="15">
      <c r="A37" s="34" t="s">
        <v>81</v>
      </c>
      <c r="B37" s="35"/>
      <c r="C37" s="35"/>
      <c r="D37" s="35"/>
      <c r="E37" s="35"/>
      <c r="F37" s="35"/>
      <c r="G37" s="35"/>
      <c r="H37" s="35"/>
      <c r="I37" s="35" t="s">
        <v>203</v>
      </c>
      <c r="J37" s="35"/>
      <c r="K37" s="35"/>
      <c r="L37" s="35"/>
      <c r="M37" s="35"/>
      <c r="N37" s="35"/>
      <c r="O37" s="35"/>
      <c r="P37" s="35" t="s">
        <v>206</v>
      </c>
      <c r="Q37" s="35"/>
      <c r="R37" s="35"/>
      <c r="S37" s="35"/>
      <c r="T37" s="35"/>
      <c r="U37" s="37"/>
      <c r="V37" s="5"/>
      <c r="W37" s="34"/>
      <c r="X37" s="35"/>
      <c r="Y37" s="35"/>
      <c r="Z37" s="35"/>
      <c r="AA37" s="35"/>
      <c r="AB37" s="35"/>
      <c r="AC37" s="35"/>
      <c r="AD37" s="35"/>
      <c r="AE37" s="35"/>
      <c r="AF37" s="35"/>
      <c r="AG37" s="35"/>
      <c r="AH37" s="35"/>
      <c r="AI37" s="35"/>
      <c r="AJ37" s="35"/>
      <c r="AK37" s="595" t="s">
        <v>207</v>
      </c>
      <c r="AL37" s="595"/>
      <c r="AM37" s="595"/>
      <c r="AN37" s="595"/>
      <c r="AO37" s="595"/>
      <c r="AP37" s="595"/>
      <c r="AQ37" s="595"/>
      <c r="AR37" s="595"/>
      <c r="AS37" s="596"/>
    </row>
    <row r="38" spans="1:45" ht="15">
      <c r="A38" s="34"/>
      <c r="B38" s="35"/>
      <c r="C38" s="35"/>
      <c r="D38" s="35"/>
      <c r="E38" s="35"/>
      <c r="F38" s="35"/>
      <c r="G38" s="35"/>
      <c r="H38" s="35"/>
      <c r="I38" s="35"/>
      <c r="J38" s="35"/>
      <c r="K38" s="35"/>
      <c r="L38" s="35"/>
      <c r="M38" s="35"/>
      <c r="N38" s="35"/>
      <c r="O38" s="35"/>
      <c r="P38" s="35"/>
      <c r="Q38" s="35"/>
      <c r="R38" s="35"/>
      <c r="S38" s="35"/>
      <c r="T38" s="35"/>
      <c r="U38" s="37"/>
      <c r="V38" s="5"/>
      <c r="W38" s="34"/>
      <c r="X38" s="35"/>
      <c r="Y38" s="35"/>
      <c r="Z38" s="35"/>
      <c r="AA38" s="35"/>
      <c r="AB38" s="35"/>
      <c r="AC38" s="35"/>
      <c r="AD38" s="35"/>
      <c r="AE38" s="35"/>
      <c r="AF38" s="35"/>
      <c r="AG38" s="35"/>
      <c r="AH38" s="35"/>
      <c r="AI38" s="35"/>
      <c r="AJ38" s="35"/>
      <c r="AK38" s="35"/>
      <c r="AL38" s="35"/>
      <c r="AM38" s="35"/>
      <c r="AN38" s="35"/>
      <c r="AO38" s="35"/>
      <c r="AP38" s="35"/>
      <c r="AQ38" s="35"/>
      <c r="AR38" s="35"/>
      <c r="AS38" s="37"/>
    </row>
    <row r="39" spans="1:45" ht="15">
      <c r="A39" s="34"/>
      <c r="B39" s="35"/>
      <c r="C39" s="35"/>
      <c r="D39" s="35"/>
      <c r="E39" s="35"/>
      <c r="F39" s="35"/>
      <c r="G39" s="35"/>
      <c r="H39" s="35"/>
      <c r="I39" s="35"/>
      <c r="J39" s="35"/>
      <c r="K39" s="35"/>
      <c r="L39" s="35"/>
      <c r="M39" s="35"/>
      <c r="N39" s="35"/>
      <c r="O39" s="35"/>
      <c r="P39" s="35"/>
      <c r="Q39" s="35"/>
      <c r="R39" s="35"/>
      <c r="S39" s="35"/>
      <c r="T39" s="35"/>
      <c r="U39" s="37"/>
      <c r="V39" s="5"/>
      <c r="W39" s="34"/>
      <c r="X39" s="35"/>
      <c r="Y39" s="35"/>
      <c r="Z39" s="35"/>
      <c r="AA39" s="35"/>
      <c r="AB39" s="35"/>
      <c r="AC39" s="35"/>
      <c r="AD39" s="35"/>
      <c r="AE39" s="35"/>
      <c r="AF39" s="35"/>
      <c r="AG39" s="35"/>
      <c r="AH39" s="35"/>
      <c r="AI39" s="35"/>
      <c r="AJ39" s="35"/>
      <c r="AK39" s="35"/>
      <c r="AL39" s="35"/>
      <c r="AM39" s="35"/>
      <c r="AN39" s="35"/>
      <c r="AO39" s="35"/>
      <c r="AP39" s="35"/>
      <c r="AQ39" s="35"/>
      <c r="AR39" s="35"/>
      <c r="AS39" s="37"/>
    </row>
    <row r="40" spans="1:45" ht="15">
      <c r="A40" s="34"/>
      <c r="B40" s="35"/>
      <c r="C40" s="35"/>
      <c r="D40" s="35"/>
      <c r="E40" s="35"/>
      <c r="F40" s="35"/>
      <c r="G40" s="35"/>
      <c r="H40" s="35"/>
      <c r="I40" s="35"/>
      <c r="J40" s="35"/>
      <c r="K40" s="35"/>
      <c r="L40" s="35"/>
      <c r="M40" s="35"/>
      <c r="N40" s="35"/>
      <c r="O40" s="35"/>
      <c r="P40" s="35"/>
      <c r="Q40" s="35"/>
      <c r="R40" s="35"/>
      <c r="S40" s="35"/>
      <c r="T40" s="35"/>
      <c r="U40" s="37"/>
      <c r="V40" s="5"/>
      <c r="W40" s="34"/>
      <c r="X40" s="35"/>
      <c r="Y40" s="35"/>
      <c r="Z40" s="35"/>
      <c r="AA40" s="35"/>
      <c r="AB40" s="35"/>
      <c r="AC40" s="35"/>
      <c r="AD40" s="35"/>
      <c r="AE40" s="35"/>
      <c r="AF40" s="35"/>
      <c r="AG40" s="35"/>
      <c r="AH40" s="35"/>
      <c r="AI40" s="35"/>
      <c r="AJ40" s="35"/>
      <c r="AK40" s="35"/>
      <c r="AL40" s="35"/>
      <c r="AM40" s="35"/>
      <c r="AN40" s="35"/>
      <c r="AO40" s="35"/>
      <c r="AP40" s="35"/>
      <c r="AQ40" s="35"/>
      <c r="AR40" s="35"/>
      <c r="AS40" s="37"/>
    </row>
    <row r="41" spans="1:45" ht="15">
      <c r="A41" s="34"/>
      <c r="B41" s="35"/>
      <c r="C41" s="35"/>
      <c r="D41" s="35"/>
      <c r="E41" s="35"/>
      <c r="F41" s="35"/>
      <c r="G41" s="35"/>
      <c r="H41" s="35"/>
      <c r="I41" s="35" t="s">
        <v>81</v>
      </c>
      <c r="J41" s="35"/>
      <c r="K41" s="35"/>
      <c r="L41" s="35"/>
      <c r="M41" s="35"/>
      <c r="N41" s="35"/>
      <c r="O41" s="35"/>
      <c r="P41" s="35"/>
      <c r="Q41" s="35"/>
      <c r="R41" s="35"/>
      <c r="S41" s="35"/>
      <c r="T41" s="35"/>
      <c r="U41" s="37"/>
      <c r="V41" s="5"/>
      <c r="W41" s="34"/>
      <c r="X41" s="35"/>
      <c r="Y41" s="35"/>
      <c r="Z41" s="35"/>
      <c r="AA41" s="35"/>
      <c r="AB41" s="35"/>
      <c r="AC41" s="35"/>
      <c r="AD41" s="35"/>
      <c r="AE41" s="35"/>
      <c r="AF41" s="35"/>
      <c r="AG41" s="35"/>
      <c r="AH41" s="35"/>
      <c r="AI41" s="35"/>
      <c r="AJ41" s="35"/>
      <c r="AK41" s="35"/>
      <c r="AL41" s="35"/>
      <c r="AM41" s="35"/>
      <c r="AN41" s="35"/>
      <c r="AO41" s="35"/>
      <c r="AP41" s="35"/>
      <c r="AQ41" s="35"/>
      <c r="AR41" s="35"/>
      <c r="AS41" s="37"/>
    </row>
    <row r="42" spans="1:45" ht="15">
      <c r="A42" s="34"/>
      <c r="B42" s="71"/>
      <c r="C42" s="35"/>
      <c r="D42" s="35"/>
      <c r="E42" s="35"/>
      <c r="F42" s="35"/>
      <c r="G42" s="35"/>
      <c r="H42" s="35"/>
      <c r="I42" s="35"/>
      <c r="J42" s="35"/>
      <c r="K42" s="35"/>
      <c r="L42" s="35"/>
      <c r="M42" s="35"/>
      <c r="N42" s="35"/>
      <c r="O42" s="35"/>
      <c r="P42" s="35"/>
      <c r="Q42" s="35"/>
      <c r="R42" s="35"/>
      <c r="S42" s="35"/>
      <c r="T42" s="35"/>
      <c r="U42" s="37"/>
      <c r="V42" s="5"/>
      <c r="W42" s="34"/>
      <c r="X42" s="35"/>
      <c r="Y42" s="35"/>
      <c r="Z42" s="35"/>
      <c r="AA42" s="35"/>
      <c r="AB42" s="35"/>
      <c r="AC42" s="35"/>
      <c r="AD42" s="35"/>
      <c r="AE42" s="35"/>
      <c r="AF42" s="35"/>
      <c r="AG42" s="35"/>
      <c r="AH42" s="35"/>
      <c r="AI42" s="35"/>
      <c r="AJ42" s="35"/>
      <c r="AK42" s="35"/>
      <c r="AL42" s="35"/>
      <c r="AM42" s="35"/>
      <c r="AN42" s="35"/>
      <c r="AO42" s="35"/>
      <c r="AP42" s="35"/>
      <c r="AQ42" s="35"/>
      <c r="AR42" s="35"/>
      <c r="AS42" s="37"/>
    </row>
    <row r="43" spans="1:45" ht="15.75" thickBot="1">
      <c r="A43" s="72"/>
      <c r="B43" s="73"/>
      <c r="C43" s="73"/>
      <c r="D43" s="73"/>
      <c r="E43" s="73"/>
      <c r="F43" s="73"/>
      <c r="G43" s="73"/>
      <c r="H43" s="73"/>
      <c r="I43" s="73"/>
      <c r="J43" s="73"/>
      <c r="K43" s="73"/>
      <c r="L43" s="73"/>
      <c r="M43" s="73"/>
      <c r="N43" s="73"/>
      <c r="O43" s="73"/>
      <c r="P43" s="73"/>
      <c r="Q43" s="73"/>
      <c r="R43" s="73"/>
      <c r="S43" s="73"/>
      <c r="T43" s="73"/>
      <c r="U43" s="74"/>
      <c r="V43" s="5"/>
      <c r="W43" s="72"/>
      <c r="X43" s="73"/>
      <c r="Y43" s="73"/>
      <c r="Z43" s="73"/>
      <c r="AA43" s="73"/>
      <c r="AB43" s="73"/>
      <c r="AC43" s="73"/>
      <c r="AD43" s="73"/>
      <c r="AE43" s="73"/>
      <c r="AF43" s="73"/>
      <c r="AG43" s="73"/>
      <c r="AH43" s="73"/>
      <c r="AI43" s="73"/>
      <c r="AJ43" s="73"/>
      <c r="AK43" s="73"/>
      <c r="AL43" s="73"/>
      <c r="AM43" s="73"/>
      <c r="AN43" s="73"/>
      <c r="AO43" s="73"/>
      <c r="AP43" s="73"/>
      <c r="AQ43" s="73"/>
      <c r="AR43" s="73"/>
      <c r="AS43" s="74"/>
    </row>
    <row r="44" spans="1:45" ht="15.75" thickTop="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sheetData>
  <sheetProtection password="E69A" sheet="1" objects="1" scenarios="1" selectLockedCells="1" selectUnlockedCells="1"/>
  <mergeCells count="45">
    <mergeCell ref="A10:B10"/>
    <mergeCell ref="M10:S11"/>
    <mergeCell ref="AI17:AJ17"/>
    <mergeCell ref="AN8:AR8"/>
    <mergeCell ref="N5:O5"/>
    <mergeCell ref="AO5:AR5"/>
    <mergeCell ref="I12:K12"/>
    <mergeCell ref="L12:T12"/>
    <mergeCell ref="AF17:AH17"/>
    <mergeCell ref="E12:H12"/>
    <mergeCell ref="C5:H5"/>
    <mergeCell ref="P5:T5"/>
    <mergeCell ref="AA5:AG5"/>
    <mergeCell ref="C6:H6"/>
    <mergeCell ref="C8:H8"/>
    <mergeCell ref="P8:T8"/>
    <mergeCell ref="AB8:AH8"/>
    <mergeCell ref="C10:H10"/>
    <mergeCell ref="E17:F17"/>
    <mergeCell ref="G17:H17"/>
    <mergeCell ref="M17:N17"/>
    <mergeCell ref="AK17:AM17"/>
    <mergeCell ref="A1:T1"/>
    <mergeCell ref="X1:AS1"/>
    <mergeCell ref="G2:N2"/>
    <mergeCell ref="X2:AS2"/>
    <mergeCell ref="O4:T4"/>
    <mergeCell ref="AP17:AS17"/>
    <mergeCell ref="O28:S28"/>
    <mergeCell ref="AP21:AS21"/>
    <mergeCell ref="AA21:AO21"/>
    <mergeCell ref="Z23:AN23"/>
    <mergeCell ref="E18:H18"/>
    <mergeCell ref="K18:N18"/>
    <mergeCell ref="P18:R18"/>
    <mergeCell ref="AK37:AS37"/>
    <mergeCell ref="AB19:AR19"/>
    <mergeCell ref="B24:F24"/>
    <mergeCell ref="G24:J24"/>
    <mergeCell ref="K24:N24"/>
    <mergeCell ref="O24:P24"/>
    <mergeCell ref="Q24:T24"/>
    <mergeCell ref="C26:S26"/>
    <mergeCell ref="E28:I28"/>
    <mergeCell ref="K28:N28"/>
  </mergeCells>
  <printOptions/>
  <pageMargins left="0.34" right="0.13" top="0.59" bottom="0.15" header="0.28" footer="0.1"/>
  <pageSetup horizontalDpi="300" verticalDpi="300" orientation="landscape" paperSize="9" scale="85" r:id="rId2"/>
  <ignoredErrors>
    <ignoredError sqref="G14" formula="1"/>
  </ignoredErrors>
  <drawing r:id="rId1"/>
</worksheet>
</file>

<file path=xl/worksheets/sheet7.xml><?xml version="1.0" encoding="utf-8"?>
<worksheet xmlns="http://schemas.openxmlformats.org/spreadsheetml/2006/main" xmlns:r="http://schemas.openxmlformats.org/officeDocument/2006/relationships">
  <sheetPr>
    <tabColor rgb="FF7030A0"/>
  </sheetPr>
  <dimension ref="A1:N51"/>
  <sheetViews>
    <sheetView showGridLines="0" showRowColHeaders="0" zoomScalePageLayoutView="0" workbookViewId="0" topLeftCell="A1">
      <selection activeCell="S34" sqref="S34"/>
    </sheetView>
  </sheetViews>
  <sheetFormatPr defaultColWidth="9.140625" defaultRowHeight="15"/>
  <cols>
    <col min="1" max="1" width="2.8515625" style="0" customWidth="1"/>
    <col min="2" max="2" width="5.7109375" style="0" customWidth="1"/>
    <col min="3" max="3" width="11.8515625" style="0" customWidth="1"/>
    <col min="4" max="4" width="3.140625" style="0" customWidth="1"/>
    <col min="5" max="5" width="11.00390625" style="0" customWidth="1"/>
    <col min="6" max="6" width="6.00390625" style="0" customWidth="1"/>
    <col min="7" max="7" width="14.140625" style="0" customWidth="1"/>
    <col min="8" max="8" width="6.421875" style="0" customWidth="1"/>
    <col min="9" max="9" width="7.57421875" style="0" customWidth="1"/>
    <col min="10" max="10" width="9.421875" style="0" customWidth="1"/>
    <col min="11" max="11" width="10.7109375" style="0" customWidth="1"/>
    <col min="12" max="12" width="5.28125" style="0" customWidth="1"/>
    <col min="13" max="13" width="3.28125" style="0" customWidth="1"/>
    <col min="14" max="14" width="9.140625" style="0" customWidth="1"/>
  </cols>
  <sheetData>
    <row r="1" spans="1:14" ht="15">
      <c r="A1" s="75"/>
      <c r="B1" s="75"/>
      <c r="C1" s="75"/>
      <c r="D1" s="75"/>
      <c r="E1" s="75"/>
      <c r="F1" s="75"/>
      <c r="G1" s="75"/>
      <c r="H1" s="75"/>
      <c r="I1" s="75"/>
      <c r="J1" s="75"/>
      <c r="K1" s="75"/>
      <c r="L1" s="75"/>
      <c r="M1" s="12"/>
      <c r="N1" s="13"/>
    </row>
    <row r="2" spans="1:14" ht="18.75">
      <c r="A2" s="75"/>
      <c r="B2" s="689" t="s">
        <v>232</v>
      </c>
      <c r="C2" s="689"/>
      <c r="D2" s="689"/>
      <c r="E2" s="689"/>
      <c r="F2" s="689"/>
      <c r="G2" s="689"/>
      <c r="H2" s="689"/>
      <c r="I2" s="689"/>
      <c r="J2" s="689"/>
      <c r="K2" s="689"/>
      <c r="L2" s="689"/>
      <c r="M2" s="15"/>
      <c r="N2" s="13"/>
    </row>
    <row r="3" spans="1:14" ht="15.75">
      <c r="A3" s="75"/>
      <c r="B3" s="690" t="s">
        <v>233</v>
      </c>
      <c r="C3" s="690"/>
      <c r="D3" s="690"/>
      <c r="E3" s="690"/>
      <c r="F3" s="690"/>
      <c r="G3" s="690"/>
      <c r="H3" s="690"/>
      <c r="I3" s="690"/>
      <c r="J3" s="690"/>
      <c r="K3" s="690"/>
      <c r="L3" s="690"/>
      <c r="M3" s="16"/>
      <c r="N3" s="13"/>
    </row>
    <row r="4" spans="1:14" ht="15.75">
      <c r="A4" s="75"/>
      <c r="B4" s="76"/>
      <c r="C4" s="76"/>
      <c r="D4" s="76"/>
      <c r="E4" s="76"/>
      <c r="F4" s="76"/>
      <c r="G4" s="76"/>
      <c r="H4" s="76"/>
      <c r="I4" s="76"/>
      <c r="J4" s="76"/>
      <c r="K4" s="76"/>
      <c r="L4" s="76"/>
      <c r="M4" s="16"/>
      <c r="N4" s="13"/>
    </row>
    <row r="5" spans="1:14" ht="15.75">
      <c r="A5" s="75"/>
      <c r="B5" s="76"/>
      <c r="C5" s="76"/>
      <c r="D5" s="76"/>
      <c r="E5" s="76"/>
      <c r="F5" s="76"/>
      <c r="G5" s="76"/>
      <c r="H5" s="76"/>
      <c r="I5" s="76"/>
      <c r="J5" s="76"/>
      <c r="K5" s="76"/>
      <c r="L5" s="76"/>
      <c r="M5" s="16"/>
      <c r="N5" s="13"/>
    </row>
    <row r="6" spans="1:14" ht="15.75">
      <c r="A6" s="75"/>
      <c r="B6" s="76"/>
      <c r="C6" s="76"/>
      <c r="D6" s="76"/>
      <c r="E6" s="76"/>
      <c r="F6" s="76"/>
      <c r="G6" s="76"/>
      <c r="H6" s="76"/>
      <c r="I6" s="76"/>
      <c r="J6" s="76"/>
      <c r="K6" s="76"/>
      <c r="L6" s="76"/>
      <c r="M6" s="16"/>
      <c r="N6" s="13"/>
    </row>
    <row r="7" spans="1:14" ht="18.75" customHeight="1">
      <c r="A7" s="75"/>
      <c r="B7" s="77" t="s">
        <v>234</v>
      </c>
      <c r="C7" s="77"/>
      <c r="D7" s="92" t="s">
        <v>76</v>
      </c>
      <c r="E7" s="693" t="str">
        <f>DATA!D16</f>
        <v>State Bank of India, Pathikonda</v>
      </c>
      <c r="F7" s="693"/>
      <c r="G7" s="693"/>
      <c r="H7" s="693"/>
      <c r="I7" s="78" t="s">
        <v>235</v>
      </c>
      <c r="J7" s="78"/>
      <c r="K7" s="691">
        <f>DATA!AM113</f>
        <v>41699</v>
      </c>
      <c r="L7" s="691"/>
      <c r="M7" s="12"/>
      <c r="N7" s="13"/>
    </row>
    <row r="8" spans="1:14" ht="15">
      <c r="A8" s="75"/>
      <c r="B8" s="77" t="s">
        <v>236</v>
      </c>
      <c r="C8" s="77"/>
      <c r="D8" s="92" t="s">
        <v>76</v>
      </c>
      <c r="E8" s="692">
        <f>DATA!D15</f>
        <v>9130308020</v>
      </c>
      <c r="F8" s="692"/>
      <c r="G8" s="692"/>
      <c r="H8" s="79"/>
      <c r="I8" s="79"/>
      <c r="J8" s="79"/>
      <c r="K8" s="75"/>
      <c r="L8" s="75"/>
      <c r="M8" s="12"/>
      <c r="N8" s="13"/>
    </row>
    <row r="9" spans="1:14" ht="20.25" customHeight="1" thickBot="1">
      <c r="A9" s="75"/>
      <c r="B9" s="80" t="s">
        <v>237</v>
      </c>
      <c r="C9" s="80"/>
      <c r="D9" s="212" t="s">
        <v>76</v>
      </c>
      <c r="E9" s="688" t="str">
        <f>CONCATENATE(DATA!O144,", ",DATA!P144,", ",DATA!M17,"")</f>
        <v>Mandal Educational Officer, Mandal Parishad, Tuggali</v>
      </c>
      <c r="F9" s="688"/>
      <c r="G9" s="688"/>
      <c r="H9" s="688"/>
      <c r="I9" s="688"/>
      <c r="J9" s="688"/>
      <c r="K9" s="81"/>
      <c r="L9" s="81"/>
      <c r="M9" s="17"/>
      <c r="N9" s="14"/>
    </row>
    <row r="10" spans="1:14" ht="27" customHeight="1">
      <c r="A10" s="75"/>
      <c r="B10" s="82" t="s">
        <v>238</v>
      </c>
      <c r="C10" s="83" t="s">
        <v>239</v>
      </c>
      <c r="D10" s="673" t="s">
        <v>240</v>
      </c>
      <c r="E10" s="673"/>
      <c r="F10" s="673"/>
      <c r="G10" s="209" t="s">
        <v>0</v>
      </c>
      <c r="H10" s="673" t="s">
        <v>241</v>
      </c>
      <c r="I10" s="673"/>
      <c r="J10" s="673"/>
      <c r="K10" s="655" t="s">
        <v>242</v>
      </c>
      <c r="L10" s="655"/>
      <c r="M10" s="12"/>
      <c r="N10" s="13"/>
    </row>
    <row r="11" spans="1:14" ht="15">
      <c r="A11" s="75"/>
      <c r="B11" s="674">
        <v>1</v>
      </c>
      <c r="C11" s="675">
        <f>DATA!D12</f>
        <v>938023</v>
      </c>
      <c r="D11" s="659" t="str">
        <f>CONCATENATE(DATA!T130,DATA!E2)</f>
        <v>Sri.K.Chandra sekhar</v>
      </c>
      <c r="E11" s="659"/>
      <c r="F11" s="659"/>
      <c r="G11" s="676" t="str">
        <f>DATA!V120</f>
        <v>S.G.T.</v>
      </c>
      <c r="H11" s="678">
        <f>DATA!I14</f>
        <v>11164896825</v>
      </c>
      <c r="I11" s="679"/>
      <c r="J11" s="680"/>
      <c r="K11" s="684">
        <f>Bill!Y11</f>
        <v>3859</v>
      </c>
      <c r="L11" s="685"/>
      <c r="M11" s="12"/>
      <c r="N11" s="13"/>
    </row>
    <row r="12" spans="1:14" ht="27" customHeight="1">
      <c r="A12" s="75"/>
      <c r="B12" s="674"/>
      <c r="C12" s="675"/>
      <c r="D12" s="659"/>
      <c r="E12" s="659"/>
      <c r="F12" s="659"/>
      <c r="G12" s="677"/>
      <c r="H12" s="681"/>
      <c r="I12" s="682"/>
      <c r="J12" s="683"/>
      <c r="K12" s="686"/>
      <c r="L12" s="687"/>
      <c r="M12" s="12"/>
      <c r="N12" s="13"/>
    </row>
    <row r="13" spans="1:14" ht="15">
      <c r="A13" s="75"/>
      <c r="B13" s="210"/>
      <c r="C13" s="211"/>
      <c r="D13" s="666"/>
      <c r="E13" s="666"/>
      <c r="F13" s="666"/>
      <c r="G13" s="211"/>
      <c r="H13" s="667"/>
      <c r="I13" s="667"/>
      <c r="J13" s="667"/>
      <c r="K13" s="668"/>
      <c r="L13" s="668"/>
      <c r="M13" s="12"/>
      <c r="N13" s="13"/>
    </row>
    <row r="14" spans="1:14" ht="15">
      <c r="A14" s="75"/>
      <c r="B14" s="210"/>
      <c r="C14" s="211"/>
      <c r="D14" s="666"/>
      <c r="E14" s="666"/>
      <c r="F14" s="666"/>
      <c r="G14" s="211"/>
      <c r="H14" s="667"/>
      <c r="I14" s="667"/>
      <c r="J14" s="667"/>
      <c r="K14" s="668"/>
      <c r="L14" s="668"/>
      <c r="M14" s="12"/>
      <c r="N14" s="13"/>
    </row>
    <row r="15" spans="1:14" ht="22.5" customHeight="1" thickBot="1">
      <c r="A15" s="75"/>
      <c r="B15" s="84"/>
      <c r="C15" s="669" t="s">
        <v>77</v>
      </c>
      <c r="D15" s="669"/>
      <c r="E15" s="669"/>
      <c r="F15" s="669"/>
      <c r="G15" s="669"/>
      <c r="H15" s="669"/>
      <c r="I15" s="669"/>
      <c r="J15" s="669"/>
      <c r="K15" s="670">
        <f>SUM($K11:$K14)</f>
        <v>3859</v>
      </c>
      <c r="L15" s="671"/>
      <c r="M15" s="12"/>
      <c r="N15" s="13"/>
    </row>
    <row r="16" spans="1:14" ht="15.75">
      <c r="A16" s="75"/>
      <c r="B16" s="85"/>
      <c r="C16" s="86"/>
      <c r="D16" s="86"/>
      <c r="E16" s="86"/>
      <c r="F16" s="86"/>
      <c r="G16" s="86"/>
      <c r="H16" s="87"/>
      <c r="I16" s="87"/>
      <c r="J16" s="87"/>
      <c r="K16" s="88"/>
      <c r="L16" s="87"/>
      <c r="M16" s="12"/>
      <c r="N16" s="13"/>
    </row>
    <row r="17" spans="1:14" ht="15">
      <c r="A17" s="75"/>
      <c r="B17" s="89" t="s">
        <v>243</v>
      </c>
      <c r="C17" s="89"/>
      <c r="D17" s="645" t="str">
        <f>DATA!AL141</f>
        <v>  Three Thousands Eight Hundred and Fifty Nine rupees only </v>
      </c>
      <c r="E17" s="645"/>
      <c r="F17" s="645"/>
      <c r="G17" s="645"/>
      <c r="H17" s="645"/>
      <c r="I17" s="645"/>
      <c r="J17" s="645"/>
      <c r="K17" s="645"/>
      <c r="L17" s="645"/>
      <c r="M17" s="12"/>
      <c r="N17" s="13"/>
    </row>
    <row r="18" spans="1:14" ht="18.75">
      <c r="A18" s="75"/>
      <c r="B18" s="90"/>
      <c r="C18" s="212"/>
      <c r="D18" s="212"/>
      <c r="E18" s="80"/>
      <c r="F18" s="80"/>
      <c r="G18" s="75"/>
      <c r="H18" s="75"/>
      <c r="I18" s="75"/>
      <c r="J18" s="75"/>
      <c r="K18" s="75"/>
      <c r="L18" s="75"/>
      <c r="M18" s="12"/>
      <c r="N18" s="13"/>
    </row>
    <row r="19" spans="1:14" ht="18.75">
      <c r="A19" s="75"/>
      <c r="B19" s="90"/>
      <c r="C19" s="214"/>
      <c r="D19" s="214"/>
      <c r="E19" s="213"/>
      <c r="F19" s="91"/>
      <c r="G19" s="75"/>
      <c r="H19" s="75"/>
      <c r="I19" s="75"/>
      <c r="J19" s="75"/>
      <c r="K19" s="75"/>
      <c r="L19" s="75"/>
      <c r="M19" s="12"/>
      <c r="N19" s="13"/>
    </row>
    <row r="20" spans="1:14" ht="15">
      <c r="A20" s="75"/>
      <c r="B20" s="75"/>
      <c r="C20" s="92"/>
      <c r="D20" s="92"/>
      <c r="E20" s="75"/>
      <c r="F20" s="75"/>
      <c r="G20" s="75"/>
      <c r="H20" s="75"/>
      <c r="I20" s="75"/>
      <c r="J20" s="93"/>
      <c r="K20" s="93"/>
      <c r="L20" s="75"/>
      <c r="M20" s="12"/>
      <c r="N20" s="13"/>
    </row>
    <row r="21" spans="1:14" ht="15">
      <c r="A21" s="75"/>
      <c r="B21" s="92" t="s">
        <v>244</v>
      </c>
      <c r="C21" s="92"/>
      <c r="D21" s="92"/>
      <c r="E21" s="94"/>
      <c r="F21" s="94"/>
      <c r="G21" s="75"/>
      <c r="H21" s="93" t="s">
        <v>245</v>
      </c>
      <c r="I21" s="75"/>
      <c r="J21" s="75"/>
      <c r="K21" s="75"/>
      <c r="L21" s="75"/>
      <c r="M21" s="12"/>
      <c r="N21" s="13"/>
    </row>
    <row r="22" spans="1:14" ht="15">
      <c r="A22" s="75"/>
      <c r="B22" s="92"/>
      <c r="C22" s="92"/>
      <c r="D22" s="92"/>
      <c r="E22" s="94"/>
      <c r="F22" s="94"/>
      <c r="G22" s="75"/>
      <c r="H22" s="75"/>
      <c r="I22" s="75"/>
      <c r="J22" s="75"/>
      <c r="K22" s="75"/>
      <c r="L22" s="75"/>
      <c r="M22" s="12"/>
      <c r="N22" s="13"/>
    </row>
    <row r="23" spans="1:14" ht="15">
      <c r="A23" s="75"/>
      <c r="B23" s="92"/>
      <c r="C23" s="92"/>
      <c r="D23" s="92"/>
      <c r="E23" s="94"/>
      <c r="F23" s="94"/>
      <c r="G23" s="75"/>
      <c r="H23" s="75"/>
      <c r="I23" s="75"/>
      <c r="J23" s="75"/>
      <c r="K23" s="75"/>
      <c r="L23" s="75"/>
      <c r="M23" s="12"/>
      <c r="N23" s="13"/>
    </row>
    <row r="24" spans="1:14" ht="15">
      <c r="A24" s="75"/>
      <c r="B24" s="92"/>
      <c r="C24" s="92"/>
      <c r="D24" s="92"/>
      <c r="E24" s="94"/>
      <c r="F24" s="94"/>
      <c r="G24" s="75"/>
      <c r="H24" s="75"/>
      <c r="I24" s="75"/>
      <c r="J24" s="75"/>
      <c r="K24" s="75"/>
      <c r="L24" s="75"/>
      <c r="M24" s="12"/>
      <c r="N24" s="13"/>
    </row>
    <row r="25" spans="1:14" ht="18.75">
      <c r="A25" s="75"/>
      <c r="B25" s="672" t="s">
        <v>246</v>
      </c>
      <c r="C25" s="672"/>
      <c r="D25" s="672"/>
      <c r="E25" s="672"/>
      <c r="F25" s="672"/>
      <c r="G25" s="672"/>
      <c r="H25" s="672"/>
      <c r="I25" s="672"/>
      <c r="J25" s="672"/>
      <c r="K25" s="672"/>
      <c r="L25" s="672"/>
      <c r="M25" s="18"/>
      <c r="N25" s="13"/>
    </row>
    <row r="26" spans="1:14" ht="15">
      <c r="A26" s="75"/>
      <c r="B26" s="665" t="s">
        <v>247</v>
      </c>
      <c r="C26" s="665"/>
      <c r="D26" s="665"/>
      <c r="E26" s="665"/>
      <c r="F26" s="665"/>
      <c r="G26" s="665"/>
      <c r="H26" s="665"/>
      <c r="I26" s="665"/>
      <c r="J26" s="665"/>
      <c r="K26" s="665"/>
      <c r="L26" s="665"/>
      <c r="M26" s="19"/>
      <c r="N26" s="13"/>
    </row>
    <row r="27" spans="1:14" ht="15">
      <c r="A27" s="75"/>
      <c r="B27" s="665" t="s">
        <v>248</v>
      </c>
      <c r="C27" s="665"/>
      <c r="D27" s="665"/>
      <c r="E27" s="665"/>
      <c r="F27" s="665"/>
      <c r="G27" s="665"/>
      <c r="H27" s="665"/>
      <c r="I27" s="665"/>
      <c r="J27" s="665"/>
      <c r="K27" s="665"/>
      <c r="L27" s="665"/>
      <c r="M27" s="19"/>
      <c r="N27" s="13"/>
    </row>
    <row r="28" spans="1:14" ht="15">
      <c r="A28" s="75"/>
      <c r="B28" s="95"/>
      <c r="C28" s="95"/>
      <c r="D28" s="95"/>
      <c r="E28" s="95"/>
      <c r="F28" s="95"/>
      <c r="G28" s="95"/>
      <c r="H28" s="95"/>
      <c r="I28" s="95"/>
      <c r="J28" s="95"/>
      <c r="K28" s="95"/>
      <c r="L28" s="95"/>
      <c r="M28" s="19"/>
      <c r="N28" s="13"/>
    </row>
    <row r="29" spans="1:14" ht="15">
      <c r="A29" s="75"/>
      <c r="B29" s="95"/>
      <c r="C29" s="95"/>
      <c r="D29" s="95"/>
      <c r="E29" s="95"/>
      <c r="F29" s="95"/>
      <c r="G29" s="75"/>
      <c r="H29" s="75"/>
      <c r="I29" s="75"/>
      <c r="J29" s="75"/>
      <c r="K29" s="75"/>
      <c r="L29" s="75"/>
      <c r="M29" s="12"/>
      <c r="N29" s="13"/>
    </row>
    <row r="30" spans="1:14" ht="15">
      <c r="A30" s="75"/>
      <c r="B30" s="661" t="s">
        <v>249</v>
      </c>
      <c r="C30" s="661"/>
      <c r="D30" s="212" t="s">
        <v>76</v>
      </c>
      <c r="E30" s="96">
        <f>E8</f>
        <v>9130308020</v>
      </c>
      <c r="F30" s="97"/>
      <c r="G30" s="98"/>
      <c r="H30" s="98"/>
      <c r="I30" s="5"/>
      <c r="J30" s="99" t="s">
        <v>250</v>
      </c>
      <c r="K30" s="100"/>
      <c r="L30" s="100"/>
      <c r="M30" s="12"/>
      <c r="N30" s="13"/>
    </row>
    <row r="31" spans="1:14" ht="15" customHeight="1">
      <c r="A31" s="75"/>
      <c r="B31" s="662" t="s">
        <v>251</v>
      </c>
      <c r="C31" s="662"/>
      <c r="D31" s="212" t="s">
        <v>76</v>
      </c>
      <c r="E31" s="99" t="str">
        <f>CONCATENATE(DATA!U130,DATA!E14,",",DATA!O151,".",",",DATA!P151,".")</f>
        <v>Sri.T.V.Sreeenivasulu,M.Sc.,B.Ed.</v>
      </c>
      <c r="F31" s="98"/>
      <c r="G31" s="98"/>
      <c r="H31" s="98"/>
      <c r="I31" s="5"/>
      <c r="J31" s="101" t="s">
        <v>252</v>
      </c>
      <c r="K31" s="663"/>
      <c r="L31" s="663"/>
      <c r="M31" s="12"/>
      <c r="N31" s="13"/>
    </row>
    <row r="32" spans="1:14" ht="18" customHeight="1">
      <c r="A32" s="75"/>
      <c r="B32" s="102" t="s">
        <v>91</v>
      </c>
      <c r="C32" s="103"/>
      <c r="D32" s="212" t="s">
        <v>76</v>
      </c>
      <c r="E32" s="662" t="str">
        <f>E9</f>
        <v>Mandal Educational Officer, Mandal Parishad, Tuggali</v>
      </c>
      <c r="F32" s="662"/>
      <c r="G32" s="662"/>
      <c r="H32" s="662"/>
      <c r="I32" s="662"/>
      <c r="J32" s="104"/>
      <c r="K32" s="213"/>
      <c r="L32" s="213"/>
      <c r="M32" s="12"/>
      <c r="N32" s="13"/>
    </row>
    <row r="33" spans="1:14" ht="15">
      <c r="A33" s="75"/>
      <c r="B33" s="661" t="s">
        <v>253</v>
      </c>
      <c r="C33" s="661"/>
      <c r="D33" s="212" t="s">
        <v>76</v>
      </c>
      <c r="E33" s="664" t="str">
        <f>E7</f>
        <v>State Bank of India, Pathikonda</v>
      </c>
      <c r="F33" s="664"/>
      <c r="G33" s="664"/>
      <c r="H33" s="98"/>
      <c r="I33" s="5"/>
      <c r="J33" s="99" t="s">
        <v>254</v>
      </c>
      <c r="K33" s="214">
        <f>DATA!D12</f>
        <v>938023</v>
      </c>
      <c r="L33" s="100"/>
      <c r="M33" s="12"/>
      <c r="N33" s="13"/>
    </row>
    <row r="34" spans="1:14" ht="15.75" thickBot="1">
      <c r="A34" s="75"/>
      <c r="B34" s="105"/>
      <c r="C34" s="105"/>
      <c r="D34" s="105"/>
      <c r="E34" s="99"/>
      <c r="F34" s="106"/>
      <c r="G34" s="106"/>
      <c r="H34" s="106"/>
      <c r="I34" s="106"/>
      <c r="J34" s="106"/>
      <c r="K34" s="75"/>
      <c r="L34" s="75"/>
      <c r="M34" s="12"/>
      <c r="N34" s="13"/>
    </row>
    <row r="35" spans="1:14" ht="27.75" customHeight="1">
      <c r="A35" s="107"/>
      <c r="B35" s="108" t="s">
        <v>255</v>
      </c>
      <c r="C35" s="653" t="s">
        <v>256</v>
      </c>
      <c r="D35" s="654"/>
      <c r="E35" s="654"/>
      <c r="F35" s="654"/>
      <c r="G35" s="654" t="s">
        <v>257</v>
      </c>
      <c r="H35" s="654"/>
      <c r="I35" s="654"/>
      <c r="J35" s="654"/>
      <c r="K35" s="655" t="s">
        <v>258</v>
      </c>
      <c r="L35" s="655"/>
      <c r="M35" s="12"/>
      <c r="N35" s="13"/>
    </row>
    <row r="36" spans="1:14" ht="39.75" customHeight="1">
      <c r="A36" s="75"/>
      <c r="B36" s="109">
        <v>1</v>
      </c>
      <c r="C36" s="656" t="str">
        <f>E33</f>
        <v>State Bank of India, Pathikonda</v>
      </c>
      <c r="D36" s="657"/>
      <c r="E36" s="657"/>
      <c r="F36" s="658"/>
      <c r="G36" s="659" t="str">
        <f>CONCATENATE(" AAS Arrears"," ( ",DATA!Q189," years "," ) ",DATA!T130,DATA!E2,", ",DATA!V120,".")</f>
        <v> AAS Arrears ( 12 years  ) Sri.K.Chandra sekhar, S.G.T..</v>
      </c>
      <c r="H36" s="659"/>
      <c r="I36" s="659"/>
      <c r="J36" s="659"/>
      <c r="K36" s="660">
        <f>Bill!Y11</f>
        <v>3859</v>
      </c>
      <c r="L36" s="660"/>
      <c r="M36" s="12"/>
      <c r="N36" s="13"/>
    </row>
    <row r="37" spans="1:14" ht="15">
      <c r="A37" s="75"/>
      <c r="B37" s="110"/>
      <c r="C37" s="647"/>
      <c r="D37" s="647"/>
      <c r="E37" s="647"/>
      <c r="F37" s="647"/>
      <c r="G37" s="648"/>
      <c r="H37" s="648"/>
      <c r="I37" s="648"/>
      <c r="J37" s="648"/>
      <c r="K37" s="649"/>
      <c r="L37" s="649"/>
      <c r="M37" s="12"/>
      <c r="N37" s="13"/>
    </row>
    <row r="38" spans="1:14" ht="21" customHeight="1" thickBot="1">
      <c r="A38" s="75"/>
      <c r="B38" s="111"/>
      <c r="C38" s="650"/>
      <c r="D38" s="650"/>
      <c r="E38" s="650"/>
      <c r="F38" s="650"/>
      <c r="G38" s="651" t="s">
        <v>77</v>
      </c>
      <c r="H38" s="651"/>
      <c r="I38" s="651"/>
      <c r="J38" s="651"/>
      <c r="K38" s="652">
        <f>$K$36</f>
        <v>3859</v>
      </c>
      <c r="L38" s="652"/>
      <c r="M38" s="12"/>
      <c r="N38" s="13"/>
    </row>
    <row r="39" spans="1:14" ht="15">
      <c r="A39" s="75"/>
      <c r="B39" s="112"/>
      <c r="C39" s="113"/>
      <c r="D39" s="113"/>
      <c r="E39" s="113"/>
      <c r="F39" s="113"/>
      <c r="G39" s="114"/>
      <c r="H39" s="114"/>
      <c r="I39" s="114"/>
      <c r="J39" s="114"/>
      <c r="K39" s="115"/>
      <c r="L39" s="115"/>
      <c r="M39" s="12"/>
      <c r="N39" s="13"/>
    </row>
    <row r="40" spans="1:14" ht="15">
      <c r="A40" s="75"/>
      <c r="B40" s="116" t="s">
        <v>400</v>
      </c>
      <c r="C40" s="100"/>
      <c r="D40" s="645" t="str">
        <f>D17</f>
        <v>  Three Thousands Eight Hundred and Fifty Nine rupees only </v>
      </c>
      <c r="E40" s="645"/>
      <c r="F40" s="645"/>
      <c r="G40" s="645"/>
      <c r="H40" s="645"/>
      <c r="I40" s="645"/>
      <c r="J40" s="645"/>
      <c r="K40" s="645"/>
      <c r="L40" s="645"/>
      <c r="M40" s="12"/>
      <c r="N40" s="13"/>
    </row>
    <row r="41" spans="1:14" ht="15">
      <c r="A41" s="75"/>
      <c r="B41" s="116"/>
      <c r="C41" s="75"/>
      <c r="D41" s="117"/>
      <c r="E41" s="117"/>
      <c r="F41" s="117"/>
      <c r="G41" s="117"/>
      <c r="H41" s="117"/>
      <c r="I41" s="117"/>
      <c r="J41" s="117"/>
      <c r="K41" s="117"/>
      <c r="L41" s="117"/>
      <c r="M41" s="12"/>
      <c r="N41" s="13"/>
    </row>
    <row r="42" spans="1:14" ht="15">
      <c r="A42" s="75"/>
      <c r="B42" s="116"/>
      <c r="C42" s="75"/>
      <c r="D42" s="117"/>
      <c r="E42" s="117"/>
      <c r="F42" s="117"/>
      <c r="G42" s="117"/>
      <c r="H42" s="117"/>
      <c r="I42" s="117"/>
      <c r="J42" s="117"/>
      <c r="K42" s="117"/>
      <c r="L42" s="117"/>
      <c r="M42" s="12"/>
      <c r="N42" s="13"/>
    </row>
    <row r="43" spans="1:14" ht="15">
      <c r="A43" s="75"/>
      <c r="B43" s="214"/>
      <c r="C43" s="214"/>
      <c r="D43" s="214"/>
      <c r="E43" s="214"/>
      <c r="F43" s="214"/>
      <c r="G43" s="75"/>
      <c r="H43" s="75"/>
      <c r="I43" s="75"/>
      <c r="J43" s="75"/>
      <c r="K43" s="75"/>
      <c r="L43" s="75"/>
      <c r="M43" s="12"/>
      <c r="N43" s="13"/>
    </row>
    <row r="44" spans="1:14" ht="15">
      <c r="A44" s="75"/>
      <c r="B44" s="105"/>
      <c r="C44" s="75"/>
      <c r="D44" s="75"/>
      <c r="E44" s="75"/>
      <c r="F44" s="75"/>
      <c r="G44" s="75"/>
      <c r="H44" s="75"/>
      <c r="I44" s="75"/>
      <c r="J44" s="75"/>
      <c r="K44" s="75"/>
      <c r="L44" s="75"/>
      <c r="M44" s="12"/>
      <c r="N44" s="13"/>
    </row>
    <row r="45" spans="1:14" ht="15">
      <c r="A45" s="75"/>
      <c r="B45" s="92" t="s">
        <v>244</v>
      </c>
      <c r="C45" s="92"/>
      <c r="D45" s="92"/>
      <c r="E45" s="75"/>
      <c r="F45" s="75"/>
      <c r="G45" s="75"/>
      <c r="H45" s="646" t="s">
        <v>245</v>
      </c>
      <c r="I45" s="646"/>
      <c r="J45" s="646"/>
      <c r="K45" s="646"/>
      <c r="L45" s="646"/>
      <c r="M45" s="12"/>
      <c r="N45" s="13"/>
    </row>
    <row r="46" spans="1:14" ht="15">
      <c r="A46" s="75"/>
      <c r="B46" s="75"/>
      <c r="C46" s="75"/>
      <c r="D46" s="75"/>
      <c r="E46" s="75"/>
      <c r="F46" s="75"/>
      <c r="G46" s="75"/>
      <c r="H46" s="75"/>
      <c r="I46" s="75"/>
      <c r="J46" s="75"/>
      <c r="K46" s="75"/>
      <c r="L46" s="75"/>
      <c r="M46" s="12"/>
      <c r="N46" s="13"/>
    </row>
    <row r="47" spans="1:14" ht="15">
      <c r="A47" s="215"/>
      <c r="B47" s="215"/>
      <c r="C47" s="215"/>
      <c r="D47" s="215"/>
      <c r="E47" s="215"/>
      <c r="F47" s="215"/>
      <c r="G47" s="215"/>
      <c r="H47" s="215"/>
      <c r="I47" s="215"/>
      <c r="J47" s="215"/>
      <c r="K47" s="215"/>
      <c r="L47" s="215"/>
      <c r="M47" s="13"/>
      <c r="N47" s="13"/>
    </row>
    <row r="48" spans="1:14" ht="15">
      <c r="A48" s="13"/>
      <c r="B48" s="20"/>
      <c r="C48" s="20"/>
      <c r="D48" s="20"/>
      <c r="E48" s="20"/>
      <c r="F48" s="20"/>
      <c r="G48" s="20"/>
      <c r="H48" s="20"/>
      <c r="I48" s="20"/>
      <c r="J48" s="20"/>
      <c r="K48" s="20"/>
      <c r="L48" s="20"/>
      <c r="M48" s="13"/>
      <c r="N48" s="13"/>
    </row>
    <row r="49" spans="1:14" ht="15">
      <c r="A49" s="13"/>
      <c r="B49" s="13"/>
      <c r="C49" s="13"/>
      <c r="D49" s="13"/>
      <c r="E49" s="13"/>
      <c r="F49" s="13"/>
      <c r="G49" s="13"/>
      <c r="H49" s="13"/>
      <c r="I49" s="13"/>
      <c r="J49" s="13"/>
      <c r="K49" s="13"/>
      <c r="L49" s="13"/>
      <c r="M49" s="13"/>
      <c r="N49" s="13"/>
    </row>
    <row r="50" spans="1:14" ht="15">
      <c r="A50" s="13"/>
      <c r="B50" s="13"/>
      <c r="C50" s="13"/>
      <c r="D50" s="13"/>
      <c r="E50" s="13"/>
      <c r="F50" s="13"/>
      <c r="G50" s="13"/>
      <c r="H50" s="13"/>
      <c r="I50" s="13"/>
      <c r="J50" s="13"/>
      <c r="K50" s="13"/>
      <c r="L50" s="13"/>
      <c r="M50" s="13"/>
      <c r="N50" s="13"/>
    </row>
    <row r="51" spans="1:14" ht="15">
      <c r="A51" s="13"/>
      <c r="B51" s="13"/>
      <c r="C51" s="13"/>
      <c r="D51" s="13"/>
      <c r="E51" s="13"/>
      <c r="F51" s="13"/>
      <c r="G51" s="13"/>
      <c r="H51" s="13"/>
      <c r="I51" s="13"/>
      <c r="J51" s="13"/>
      <c r="K51" s="13"/>
      <c r="L51" s="13"/>
      <c r="M51" s="13"/>
      <c r="N51" s="13"/>
    </row>
  </sheetData>
  <sheetProtection password="E69A" sheet="1" objects="1" scenarios="1" selectLockedCells="1" selectUnlockedCells="1"/>
  <mergeCells count="47">
    <mergeCell ref="K11:L12"/>
    <mergeCell ref="E9:J9"/>
    <mergeCell ref="B2:L2"/>
    <mergeCell ref="B3:L3"/>
    <mergeCell ref="K7:L7"/>
    <mergeCell ref="E8:G8"/>
    <mergeCell ref="E7:H7"/>
    <mergeCell ref="B25:L25"/>
    <mergeCell ref="B26:L26"/>
    <mergeCell ref="D10:F10"/>
    <mergeCell ref="H10:J10"/>
    <mergeCell ref="K10:L10"/>
    <mergeCell ref="B11:B12"/>
    <mergeCell ref="C11:C12"/>
    <mergeCell ref="D11:F12"/>
    <mergeCell ref="G11:G12"/>
    <mergeCell ref="H11:J12"/>
    <mergeCell ref="B27:L27"/>
    <mergeCell ref="D13:F13"/>
    <mergeCell ref="H13:J13"/>
    <mergeCell ref="K13:L13"/>
    <mergeCell ref="D14:F14"/>
    <mergeCell ref="H14:J14"/>
    <mergeCell ref="K14:L14"/>
    <mergeCell ref="C15:J15"/>
    <mergeCell ref="K15:L15"/>
    <mergeCell ref="D17:L17"/>
    <mergeCell ref="B30:C30"/>
    <mergeCell ref="B31:C31"/>
    <mergeCell ref="K31:L31"/>
    <mergeCell ref="B33:C33"/>
    <mergeCell ref="E33:G33"/>
    <mergeCell ref="E32:I32"/>
    <mergeCell ref="C35:F35"/>
    <mergeCell ref="G35:J35"/>
    <mergeCell ref="K35:L35"/>
    <mergeCell ref="C36:F36"/>
    <mergeCell ref="G36:J36"/>
    <mergeCell ref="K36:L36"/>
    <mergeCell ref="D40:L40"/>
    <mergeCell ref="H45:L45"/>
    <mergeCell ref="C37:F37"/>
    <mergeCell ref="G37:J37"/>
    <mergeCell ref="K37:L37"/>
    <mergeCell ref="C38:F38"/>
    <mergeCell ref="G38:J38"/>
    <mergeCell ref="K38:L38"/>
  </mergeCells>
  <printOptions/>
  <pageMargins left="0.44" right="0.35" top="0.42" bottom="0.38" header="0.25" footer="0.3"/>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tabColor rgb="FFFFC000"/>
  </sheetPr>
  <dimension ref="A1:Q43"/>
  <sheetViews>
    <sheetView showGridLines="0" showRowColHeaders="0" zoomScalePageLayoutView="0" workbookViewId="0" topLeftCell="A1">
      <selection activeCell="T11" sqref="T11"/>
    </sheetView>
  </sheetViews>
  <sheetFormatPr defaultColWidth="9.140625" defaultRowHeight="15"/>
  <cols>
    <col min="1" max="1" width="3.8515625" style="0" customWidth="1"/>
    <col min="2" max="2" width="5.8515625" style="0" customWidth="1"/>
    <col min="3" max="3" width="5.421875" style="0" customWidth="1"/>
    <col min="4" max="4" width="4.57421875" style="0" customWidth="1"/>
    <col min="5" max="10" width="5.57421875" style="0" customWidth="1"/>
    <col min="11" max="11" width="6.28125" style="0" customWidth="1"/>
    <col min="12" max="12" width="5.57421875" style="0" customWidth="1"/>
    <col min="13" max="13" width="8.140625" style="0" customWidth="1"/>
    <col min="14" max="17" width="5.57421875" style="0" customWidth="1"/>
  </cols>
  <sheetData>
    <row r="1" spans="1:17" ht="16.5" thickTop="1">
      <c r="A1" s="265"/>
      <c r="B1" s="266"/>
      <c r="C1" s="267"/>
      <c r="D1" s="267"/>
      <c r="E1" s="267"/>
      <c r="F1" s="267"/>
      <c r="G1" s="267"/>
      <c r="H1" s="268"/>
      <c r="I1" s="268"/>
      <c r="J1" s="268"/>
      <c r="K1" s="268"/>
      <c r="L1" s="268"/>
      <c r="M1" s="268"/>
      <c r="N1" s="268"/>
      <c r="O1" s="268"/>
      <c r="P1" s="268"/>
      <c r="Q1" s="269"/>
    </row>
    <row r="2" spans="1:17" ht="18.75">
      <c r="A2" s="701" t="s">
        <v>459</v>
      </c>
      <c r="B2" s="718"/>
      <c r="C2" s="718"/>
      <c r="D2" s="718"/>
      <c r="E2" s="718"/>
      <c r="F2" s="718"/>
      <c r="G2" s="718"/>
      <c r="H2" s="718"/>
      <c r="I2" s="718"/>
      <c r="J2" s="718"/>
      <c r="K2" s="718"/>
      <c r="L2" s="718"/>
      <c r="M2" s="718"/>
      <c r="N2" s="718"/>
      <c r="O2" s="718"/>
      <c r="P2" s="718"/>
      <c r="Q2" s="719"/>
    </row>
    <row r="3" spans="1:17" ht="15">
      <c r="A3" s="704" t="s">
        <v>460</v>
      </c>
      <c r="B3" s="663"/>
      <c r="C3" s="663"/>
      <c r="D3" s="663"/>
      <c r="E3" s="663"/>
      <c r="F3" s="663"/>
      <c r="G3" s="663"/>
      <c r="H3" s="663"/>
      <c r="I3" s="663"/>
      <c r="J3" s="663"/>
      <c r="K3" s="663"/>
      <c r="L3" s="663"/>
      <c r="M3" s="663"/>
      <c r="N3" s="663"/>
      <c r="O3" s="663"/>
      <c r="P3" s="663"/>
      <c r="Q3" s="705"/>
    </row>
    <row r="4" spans="1:17" ht="15">
      <c r="A4" s="720" t="s">
        <v>461</v>
      </c>
      <c r="B4" s="721"/>
      <c r="C4" s="721"/>
      <c r="D4" s="721"/>
      <c r="E4" s="721"/>
      <c r="F4" s="721"/>
      <c r="G4" s="721"/>
      <c r="H4" s="721"/>
      <c r="I4" s="721"/>
      <c r="J4" s="721"/>
      <c r="K4" s="721"/>
      <c r="L4" s="721"/>
      <c r="M4" s="721"/>
      <c r="N4" s="721"/>
      <c r="O4" s="721"/>
      <c r="P4" s="721"/>
      <c r="Q4" s="722"/>
    </row>
    <row r="5" spans="1:17" ht="15">
      <c r="A5" s="720"/>
      <c r="B5" s="721"/>
      <c r="C5" s="721"/>
      <c r="D5" s="721"/>
      <c r="E5" s="721"/>
      <c r="F5" s="721"/>
      <c r="G5" s="721"/>
      <c r="H5" s="721"/>
      <c r="I5" s="721"/>
      <c r="J5" s="721"/>
      <c r="K5" s="721"/>
      <c r="L5" s="721"/>
      <c r="M5" s="721"/>
      <c r="N5" s="721"/>
      <c r="O5" s="721"/>
      <c r="P5" s="721"/>
      <c r="Q5" s="722"/>
    </row>
    <row r="6" spans="1:17" ht="15.75">
      <c r="A6" s="270"/>
      <c r="B6" s="271"/>
      <c r="C6" s="100"/>
      <c r="D6" s="100"/>
      <c r="E6" s="100"/>
      <c r="F6" s="100"/>
      <c r="G6" s="100"/>
      <c r="H6" s="100"/>
      <c r="I6" s="100"/>
      <c r="J6" s="100"/>
      <c r="K6" s="100"/>
      <c r="L6" s="100"/>
      <c r="M6" s="100"/>
      <c r="N6" s="100"/>
      <c r="O6" s="100"/>
      <c r="P6" s="100"/>
      <c r="Q6" s="272"/>
    </row>
    <row r="7" spans="1:17" ht="19.5" customHeight="1">
      <c r="A7" s="715" t="str">
        <f>Bill!A1</f>
        <v> AAS  ( 12 years ) Arrears bill of  Sri. K.Chandra sekhar ,S.G.T. ,ZPH School ,Jonnagiri, Tuggali ( Mandal ).</v>
      </c>
      <c r="B7" s="716"/>
      <c r="C7" s="716"/>
      <c r="D7" s="716"/>
      <c r="E7" s="716"/>
      <c r="F7" s="716"/>
      <c r="G7" s="716"/>
      <c r="H7" s="716"/>
      <c r="I7" s="716"/>
      <c r="J7" s="716"/>
      <c r="K7" s="716"/>
      <c r="L7" s="716"/>
      <c r="M7" s="716"/>
      <c r="N7" s="716"/>
      <c r="O7" s="716"/>
      <c r="P7" s="716"/>
      <c r="Q7" s="717"/>
    </row>
    <row r="8" spans="1:17" ht="15" customHeight="1">
      <c r="A8" s="270"/>
      <c r="C8" s="292"/>
      <c r="D8" s="292"/>
      <c r="E8" s="292"/>
      <c r="F8" s="292"/>
      <c r="G8" s="694" t="s">
        <v>465</v>
      </c>
      <c r="H8" s="694"/>
      <c r="I8" s="694"/>
      <c r="J8" s="723">
        <f>DATA!AB116</f>
        <v>41699</v>
      </c>
      <c r="K8" s="723"/>
      <c r="L8" s="723"/>
      <c r="M8" s="292"/>
      <c r="N8" s="292"/>
      <c r="O8" s="292"/>
      <c r="P8" s="292"/>
      <c r="Q8" s="272"/>
    </row>
    <row r="9" spans="1:17" ht="15.75">
      <c r="A9" s="270"/>
      <c r="B9" s="273"/>
      <c r="C9" s="274"/>
      <c r="D9" s="274"/>
      <c r="E9" s="274"/>
      <c r="F9" s="274"/>
      <c r="G9" s="274"/>
      <c r="H9" s="100"/>
      <c r="I9" s="100"/>
      <c r="J9" s="100"/>
      <c r="K9" s="100"/>
      <c r="L9" s="100"/>
      <c r="M9" s="100"/>
      <c r="N9" s="100"/>
      <c r="O9" s="100"/>
      <c r="P9" s="100"/>
      <c r="Q9" s="272"/>
    </row>
    <row r="10" spans="1:17" ht="30">
      <c r="A10" s="275"/>
      <c r="B10" s="276" t="s">
        <v>255</v>
      </c>
      <c r="C10" s="709" t="s">
        <v>462</v>
      </c>
      <c r="D10" s="709"/>
      <c r="E10" s="710" t="s">
        <v>405</v>
      </c>
      <c r="F10" s="710"/>
      <c r="G10" s="710"/>
      <c r="H10" s="710"/>
      <c r="I10" s="710" t="s">
        <v>0</v>
      </c>
      <c r="J10" s="710"/>
      <c r="K10" s="710"/>
      <c r="L10" s="710" t="s">
        <v>463</v>
      </c>
      <c r="M10" s="710"/>
      <c r="N10" s="711" t="s">
        <v>77</v>
      </c>
      <c r="O10" s="711"/>
      <c r="P10" s="711"/>
      <c r="Q10" s="278"/>
    </row>
    <row r="11" spans="1:17" ht="26.25" customHeight="1">
      <c r="A11" s="270"/>
      <c r="B11" s="279">
        <v>1</v>
      </c>
      <c r="C11" s="712">
        <f>DATA!D12</f>
        <v>938023</v>
      </c>
      <c r="D11" s="712"/>
      <c r="E11" s="713" t="str">
        <f>DATA!E2</f>
        <v>K.Chandra sekhar</v>
      </c>
      <c r="F11" s="713"/>
      <c r="G11" s="713"/>
      <c r="H11" s="713"/>
      <c r="I11" s="714" t="e">
        <f>DATA!#REF!</f>
        <v>#REF!</v>
      </c>
      <c r="J11" s="714"/>
      <c r="K11" s="714"/>
      <c r="L11" s="698">
        <f>Bill!W11</f>
        <v>0</v>
      </c>
      <c r="M11" s="698"/>
      <c r="N11" s="698">
        <f>L11</f>
        <v>0</v>
      </c>
      <c r="O11" s="699"/>
      <c r="P11" s="699"/>
      <c r="Q11" s="272"/>
    </row>
    <row r="12" spans="1:17" ht="26.25">
      <c r="A12" s="270"/>
      <c r="B12" s="697" t="s">
        <v>78</v>
      </c>
      <c r="C12" s="697"/>
      <c r="D12" s="697"/>
      <c r="E12" s="697"/>
      <c r="F12" s="697"/>
      <c r="G12" s="697"/>
      <c r="H12" s="697"/>
      <c r="I12" s="697"/>
      <c r="J12" s="697"/>
      <c r="K12" s="697"/>
      <c r="L12" s="697"/>
      <c r="M12" s="697"/>
      <c r="N12" s="698">
        <f>N11</f>
        <v>0</v>
      </c>
      <c r="O12" s="699"/>
      <c r="P12" s="699"/>
      <c r="Q12" s="272"/>
    </row>
    <row r="13" spans="1:17" ht="15.75">
      <c r="A13" s="270"/>
      <c r="B13" s="273"/>
      <c r="C13" s="274"/>
      <c r="D13" s="274"/>
      <c r="E13" s="274"/>
      <c r="F13" s="274"/>
      <c r="G13" s="274"/>
      <c r="H13" s="100"/>
      <c r="I13" s="100"/>
      <c r="J13" s="100"/>
      <c r="K13" s="100"/>
      <c r="L13" s="100"/>
      <c r="M13" s="100"/>
      <c r="N13" s="100"/>
      <c r="O13" s="100"/>
      <c r="P13" s="100"/>
      <c r="Q13" s="272"/>
    </row>
    <row r="14" spans="1:17" ht="15.75">
      <c r="A14" s="270"/>
      <c r="B14" s="280" t="s">
        <v>464</v>
      </c>
      <c r="C14" s="274"/>
      <c r="D14" s="274"/>
      <c r="E14" s="274"/>
      <c r="F14" s="87" t="str">
        <f>DATA!AL153</f>
        <v>Zero</v>
      </c>
      <c r="G14" s="274"/>
      <c r="H14" s="100"/>
      <c r="I14" s="100"/>
      <c r="J14" s="100"/>
      <c r="K14" s="100"/>
      <c r="L14" s="100"/>
      <c r="M14" s="100"/>
      <c r="N14" s="100"/>
      <c r="O14" s="100"/>
      <c r="P14" s="100"/>
      <c r="Q14" s="272"/>
    </row>
    <row r="15" spans="1:17" ht="15.75">
      <c r="A15" s="270"/>
      <c r="B15" s="273"/>
      <c r="C15" s="274"/>
      <c r="D15" s="274"/>
      <c r="E15" s="274"/>
      <c r="F15" s="274"/>
      <c r="G15" s="274"/>
      <c r="H15" s="100"/>
      <c r="I15" s="100"/>
      <c r="J15" s="100"/>
      <c r="K15" s="100"/>
      <c r="L15" s="281"/>
      <c r="M15" s="281"/>
      <c r="N15" s="281"/>
      <c r="O15" s="281"/>
      <c r="P15" s="281"/>
      <c r="Q15" s="272"/>
    </row>
    <row r="16" spans="1:17" ht="15.75">
      <c r="A16" s="270"/>
      <c r="B16" s="273"/>
      <c r="C16" s="274"/>
      <c r="D16" s="274"/>
      <c r="E16" s="282"/>
      <c r="F16" s="282"/>
      <c r="G16" s="282"/>
      <c r="H16" s="100"/>
      <c r="I16" s="100"/>
      <c r="J16" s="100"/>
      <c r="K16" s="100"/>
      <c r="L16" s="281"/>
      <c r="M16" s="281"/>
      <c r="N16" s="281"/>
      <c r="O16" s="281"/>
      <c r="P16" s="281"/>
      <c r="Q16" s="272"/>
    </row>
    <row r="17" spans="1:17" ht="15.75">
      <c r="A17" s="270"/>
      <c r="B17" s="273"/>
      <c r="C17" s="274"/>
      <c r="D17" s="274"/>
      <c r="E17" s="282"/>
      <c r="F17" s="282"/>
      <c r="G17" s="282"/>
      <c r="H17" s="100"/>
      <c r="I17" s="100"/>
      <c r="J17" s="100"/>
      <c r="K17" s="100"/>
      <c r="L17" s="700" t="s">
        <v>81</v>
      </c>
      <c r="M17" s="700"/>
      <c r="N17" s="700"/>
      <c r="O17" s="700"/>
      <c r="P17" s="700"/>
      <c r="Q17" s="272"/>
    </row>
    <row r="18" spans="1:17" ht="15.75">
      <c r="A18" s="270"/>
      <c r="B18" s="273"/>
      <c r="C18" s="100"/>
      <c r="D18" s="274"/>
      <c r="E18" s="274"/>
      <c r="F18" s="274"/>
      <c r="G18" s="274"/>
      <c r="H18" s="100"/>
      <c r="I18" s="100"/>
      <c r="J18" s="100"/>
      <c r="K18" s="100"/>
      <c r="L18" s="700"/>
      <c r="M18" s="700"/>
      <c r="N18" s="700"/>
      <c r="O18" s="700"/>
      <c r="P18" s="700"/>
      <c r="Q18" s="272"/>
    </row>
    <row r="19" spans="1:17" ht="15.75">
      <c r="A19" s="270"/>
      <c r="B19" s="273"/>
      <c r="C19" s="283"/>
      <c r="D19" s="284"/>
      <c r="E19" s="284"/>
      <c r="F19" s="284"/>
      <c r="G19" s="284"/>
      <c r="H19" s="100"/>
      <c r="I19" s="100"/>
      <c r="J19" s="100"/>
      <c r="K19" s="100"/>
      <c r="L19" s="100"/>
      <c r="M19" s="100"/>
      <c r="N19" s="100"/>
      <c r="O19" s="100"/>
      <c r="P19" s="100"/>
      <c r="Q19" s="272"/>
    </row>
    <row r="20" spans="1:17" ht="15.75">
      <c r="A20" s="270"/>
      <c r="B20" s="273"/>
      <c r="C20" s="285"/>
      <c r="D20" s="285"/>
      <c r="E20" s="285"/>
      <c r="F20" s="285"/>
      <c r="G20" s="285"/>
      <c r="H20" s="100"/>
      <c r="I20" s="100"/>
      <c r="J20" s="100"/>
      <c r="K20" s="100"/>
      <c r="L20" s="100"/>
      <c r="M20" s="100"/>
      <c r="N20" s="100"/>
      <c r="O20" s="100"/>
      <c r="P20" s="100"/>
      <c r="Q20" s="272"/>
    </row>
    <row r="21" spans="1:17" ht="16.5" thickBot="1">
      <c r="A21" s="286"/>
      <c r="B21" s="287"/>
      <c r="C21" s="288"/>
      <c r="D21" s="288"/>
      <c r="E21" s="288"/>
      <c r="F21" s="288"/>
      <c r="G21" s="288"/>
      <c r="H21" s="289"/>
      <c r="I21" s="289"/>
      <c r="J21" s="289"/>
      <c r="K21" s="289"/>
      <c r="L21" s="289"/>
      <c r="M21" s="289"/>
      <c r="N21" s="289"/>
      <c r="O21" s="289"/>
      <c r="P21" s="289"/>
      <c r="Q21" s="290"/>
    </row>
    <row r="22" spans="1:17" ht="16.5" thickTop="1">
      <c r="A22" s="270"/>
      <c r="B22" s="273"/>
      <c r="C22" s="274"/>
      <c r="D22" s="274"/>
      <c r="E22" s="274"/>
      <c r="F22" s="274"/>
      <c r="G22" s="274"/>
      <c r="H22" s="100"/>
      <c r="I22" s="100"/>
      <c r="J22" s="100"/>
      <c r="K22" s="100"/>
      <c r="L22" s="100"/>
      <c r="M22" s="100"/>
      <c r="N22" s="100"/>
      <c r="O22" s="100"/>
      <c r="P22" s="100"/>
      <c r="Q22" s="272"/>
    </row>
    <row r="23" spans="1:17" ht="15">
      <c r="A23" s="701" t="s">
        <v>459</v>
      </c>
      <c r="B23" s="702"/>
      <c r="C23" s="702"/>
      <c r="D23" s="702"/>
      <c r="E23" s="702"/>
      <c r="F23" s="702"/>
      <c r="G23" s="702"/>
      <c r="H23" s="702"/>
      <c r="I23" s="702"/>
      <c r="J23" s="702"/>
      <c r="K23" s="702"/>
      <c r="L23" s="702"/>
      <c r="M23" s="702"/>
      <c r="N23" s="702"/>
      <c r="O23" s="702"/>
      <c r="P23" s="702"/>
      <c r="Q23" s="703"/>
    </row>
    <row r="24" spans="1:17" ht="15">
      <c r="A24" s="704" t="s">
        <v>460</v>
      </c>
      <c r="B24" s="663"/>
      <c r="C24" s="663"/>
      <c r="D24" s="663"/>
      <c r="E24" s="663"/>
      <c r="F24" s="663"/>
      <c r="G24" s="663"/>
      <c r="H24" s="663"/>
      <c r="I24" s="663"/>
      <c r="J24" s="663"/>
      <c r="K24" s="663"/>
      <c r="L24" s="663"/>
      <c r="M24" s="663"/>
      <c r="N24" s="663"/>
      <c r="O24" s="663"/>
      <c r="P24" s="663"/>
      <c r="Q24" s="705"/>
    </row>
    <row r="25" spans="1:17" ht="15">
      <c r="A25" s="706" t="s">
        <v>461</v>
      </c>
      <c r="B25" s="707"/>
      <c r="C25" s="707"/>
      <c r="D25" s="707"/>
      <c r="E25" s="707"/>
      <c r="F25" s="707"/>
      <c r="G25" s="707"/>
      <c r="H25" s="707"/>
      <c r="I25" s="707"/>
      <c r="J25" s="707"/>
      <c r="K25" s="707"/>
      <c r="L25" s="707"/>
      <c r="M25" s="707"/>
      <c r="N25" s="707"/>
      <c r="O25" s="707"/>
      <c r="P25" s="707"/>
      <c r="Q25" s="708"/>
    </row>
    <row r="26" spans="1:17" ht="15">
      <c r="A26" s="270"/>
      <c r="B26" s="291"/>
      <c r="C26" s="291"/>
      <c r="D26" s="291"/>
      <c r="E26" s="291"/>
      <c r="F26" s="291"/>
      <c r="G26" s="291"/>
      <c r="H26" s="291"/>
      <c r="I26" s="291"/>
      <c r="J26" s="291"/>
      <c r="K26" s="291"/>
      <c r="L26" s="291"/>
      <c r="M26" s="291"/>
      <c r="N26" s="291"/>
      <c r="O26" s="291"/>
      <c r="P26" s="291"/>
      <c r="Q26" s="272"/>
    </row>
    <row r="27" spans="1:17" ht="15.75">
      <c r="A27" s="715" t="str">
        <f>A7</f>
        <v> AAS  ( 12 years ) Arrears bill of  Sri. K.Chandra sekhar ,S.G.T. ,ZPH School ,Jonnagiri, Tuggali ( Mandal ).</v>
      </c>
      <c r="B27" s="716"/>
      <c r="C27" s="716"/>
      <c r="D27" s="716"/>
      <c r="E27" s="716"/>
      <c r="F27" s="716"/>
      <c r="G27" s="716"/>
      <c r="H27" s="716"/>
      <c r="I27" s="716"/>
      <c r="J27" s="716"/>
      <c r="K27" s="716"/>
      <c r="L27" s="716"/>
      <c r="M27" s="716"/>
      <c r="N27" s="716"/>
      <c r="O27" s="716"/>
      <c r="P27" s="716"/>
      <c r="Q27" s="717"/>
    </row>
    <row r="28" spans="1:17" ht="18.75">
      <c r="A28" s="270"/>
      <c r="B28" s="293"/>
      <c r="C28" s="293"/>
      <c r="D28" s="293"/>
      <c r="E28" s="293"/>
      <c r="F28" s="293"/>
      <c r="G28" s="696" t="str">
        <f>G8</f>
        <v>Month of -</v>
      </c>
      <c r="H28" s="696"/>
      <c r="I28" s="696"/>
      <c r="J28" s="695">
        <f>J8</f>
        <v>41699</v>
      </c>
      <c r="K28" s="695"/>
      <c r="L28" s="695"/>
      <c r="M28" s="293"/>
      <c r="N28" s="293"/>
      <c r="O28" s="293"/>
      <c r="P28" s="293"/>
      <c r="Q28" s="272"/>
    </row>
    <row r="29" spans="1:17" ht="15.75">
      <c r="A29" s="270"/>
      <c r="B29" s="273"/>
      <c r="C29" s="274"/>
      <c r="D29" s="274"/>
      <c r="E29" s="274"/>
      <c r="F29" s="274"/>
      <c r="G29" s="274"/>
      <c r="H29" s="100"/>
      <c r="I29" s="100"/>
      <c r="J29" s="100"/>
      <c r="K29" s="100"/>
      <c r="L29" s="100"/>
      <c r="M29" s="100"/>
      <c r="N29" s="100"/>
      <c r="O29" s="100"/>
      <c r="P29" s="100"/>
      <c r="Q29" s="272"/>
    </row>
    <row r="30" spans="1:17" ht="30">
      <c r="A30" s="275"/>
      <c r="B30" s="277" t="s">
        <v>255</v>
      </c>
      <c r="C30" s="709" t="s">
        <v>462</v>
      </c>
      <c r="D30" s="709"/>
      <c r="E30" s="710" t="s">
        <v>405</v>
      </c>
      <c r="F30" s="710"/>
      <c r="G30" s="710"/>
      <c r="H30" s="710"/>
      <c r="I30" s="710" t="s">
        <v>0</v>
      </c>
      <c r="J30" s="710"/>
      <c r="K30" s="710"/>
      <c r="L30" s="710" t="s">
        <v>463</v>
      </c>
      <c r="M30" s="710"/>
      <c r="N30" s="711" t="s">
        <v>77</v>
      </c>
      <c r="O30" s="711"/>
      <c r="P30" s="711"/>
      <c r="Q30" s="278"/>
    </row>
    <row r="31" spans="1:17" ht="21.75" customHeight="1">
      <c r="A31" s="270"/>
      <c r="B31" s="279">
        <v>1</v>
      </c>
      <c r="C31" s="712">
        <f>C11</f>
        <v>938023</v>
      </c>
      <c r="D31" s="712"/>
      <c r="E31" s="713" t="str">
        <f>E11</f>
        <v>K.Chandra sekhar</v>
      </c>
      <c r="F31" s="713"/>
      <c r="G31" s="713"/>
      <c r="H31" s="713"/>
      <c r="I31" s="714" t="e">
        <f>I11</f>
        <v>#REF!</v>
      </c>
      <c r="J31" s="714"/>
      <c r="K31" s="714"/>
      <c r="L31" s="698">
        <f>L11</f>
        <v>0</v>
      </c>
      <c r="M31" s="698"/>
      <c r="N31" s="698">
        <f>L31</f>
        <v>0</v>
      </c>
      <c r="O31" s="699"/>
      <c r="P31" s="699"/>
      <c r="Q31" s="272"/>
    </row>
    <row r="32" spans="1:17" ht="26.25">
      <c r="A32" s="270"/>
      <c r="B32" s="697" t="s">
        <v>78</v>
      </c>
      <c r="C32" s="697"/>
      <c r="D32" s="697"/>
      <c r="E32" s="697"/>
      <c r="F32" s="697"/>
      <c r="G32" s="697"/>
      <c r="H32" s="697"/>
      <c r="I32" s="697"/>
      <c r="J32" s="697"/>
      <c r="K32" s="697"/>
      <c r="L32" s="697"/>
      <c r="M32" s="697"/>
      <c r="N32" s="698">
        <f>N31</f>
        <v>0</v>
      </c>
      <c r="O32" s="699"/>
      <c r="P32" s="699"/>
      <c r="Q32" s="272"/>
    </row>
    <row r="33" spans="1:17" ht="15.75">
      <c r="A33" s="270"/>
      <c r="B33" s="273"/>
      <c r="C33" s="274"/>
      <c r="D33" s="274"/>
      <c r="E33" s="274"/>
      <c r="F33" s="274"/>
      <c r="G33" s="274"/>
      <c r="H33" s="100"/>
      <c r="I33" s="100"/>
      <c r="J33" s="100"/>
      <c r="K33" s="100"/>
      <c r="L33" s="100"/>
      <c r="M33" s="100"/>
      <c r="N33" s="100"/>
      <c r="O33" s="100"/>
      <c r="P33" s="100"/>
      <c r="Q33" s="272"/>
    </row>
    <row r="34" spans="1:17" ht="15.75">
      <c r="A34" s="270"/>
      <c r="B34" s="280" t="s">
        <v>464</v>
      </c>
      <c r="C34" s="274"/>
      <c r="D34" s="274"/>
      <c r="E34" s="274"/>
      <c r="F34" s="87" t="str">
        <f>F14</f>
        <v>Zero</v>
      </c>
      <c r="G34" s="274"/>
      <c r="H34" s="100"/>
      <c r="I34" s="100"/>
      <c r="J34" s="100"/>
      <c r="K34" s="100"/>
      <c r="L34" s="100"/>
      <c r="M34" s="100"/>
      <c r="N34" s="100"/>
      <c r="O34" s="100"/>
      <c r="P34" s="100"/>
      <c r="Q34" s="272"/>
    </row>
    <row r="35" spans="1:17" ht="15.75">
      <c r="A35" s="270"/>
      <c r="B35" s="273"/>
      <c r="C35" s="274"/>
      <c r="D35" s="274"/>
      <c r="E35" s="274"/>
      <c r="F35" s="274"/>
      <c r="G35" s="274"/>
      <c r="H35" s="100"/>
      <c r="I35" s="100"/>
      <c r="J35" s="100"/>
      <c r="K35" s="100"/>
      <c r="L35" s="281"/>
      <c r="M35" s="281"/>
      <c r="N35" s="281"/>
      <c r="O35" s="281"/>
      <c r="P35" s="281"/>
      <c r="Q35" s="272"/>
    </row>
    <row r="36" spans="1:17" ht="15.75">
      <c r="A36" s="270"/>
      <c r="B36" s="273"/>
      <c r="C36" s="274"/>
      <c r="D36" s="274"/>
      <c r="E36" s="282"/>
      <c r="F36" s="282"/>
      <c r="G36" s="282"/>
      <c r="H36" s="100"/>
      <c r="I36" s="100"/>
      <c r="J36" s="100"/>
      <c r="K36" s="100"/>
      <c r="L36" s="281"/>
      <c r="M36" s="281"/>
      <c r="N36" s="281"/>
      <c r="O36" s="281"/>
      <c r="P36" s="281"/>
      <c r="Q36" s="272"/>
    </row>
    <row r="37" spans="1:17" ht="15.75">
      <c r="A37" s="270"/>
      <c r="B37" s="273"/>
      <c r="C37" s="274"/>
      <c r="D37" s="274"/>
      <c r="E37" s="282"/>
      <c r="F37" s="282"/>
      <c r="G37" s="282"/>
      <c r="H37" s="100"/>
      <c r="I37" s="100"/>
      <c r="J37" s="100"/>
      <c r="K37" s="100"/>
      <c r="L37" s="700" t="s">
        <v>81</v>
      </c>
      <c r="M37" s="700"/>
      <c r="N37" s="700"/>
      <c r="O37" s="700"/>
      <c r="P37" s="700"/>
      <c r="Q37" s="272"/>
    </row>
    <row r="38" spans="1:17" ht="15.75">
      <c r="A38" s="270"/>
      <c r="B38" s="273"/>
      <c r="C38" s="100"/>
      <c r="D38" s="274"/>
      <c r="E38" s="274"/>
      <c r="F38" s="274"/>
      <c r="G38" s="274"/>
      <c r="H38" s="100"/>
      <c r="I38" s="100"/>
      <c r="J38" s="100"/>
      <c r="K38" s="100"/>
      <c r="L38" s="700"/>
      <c r="M38" s="700"/>
      <c r="N38" s="700"/>
      <c r="O38" s="700"/>
      <c r="P38" s="700"/>
      <c r="Q38" s="272"/>
    </row>
    <row r="39" spans="1:17" ht="15.75">
      <c r="A39" s="270"/>
      <c r="B39" s="273"/>
      <c r="C39" s="283"/>
      <c r="D39" s="284"/>
      <c r="E39" s="284"/>
      <c r="F39" s="284"/>
      <c r="G39" s="284"/>
      <c r="H39" s="100"/>
      <c r="I39" s="100"/>
      <c r="J39" s="100"/>
      <c r="K39" s="100"/>
      <c r="L39" s="100"/>
      <c r="M39" s="100"/>
      <c r="N39" s="100"/>
      <c r="O39" s="100"/>
      <c r="P39" s="100"/>
      <c r="Q39" s="272"/>
    </row>
    <row r="40" spans="1:17" ht="15.75">
      <c r="A40" s="270"/>
      <c r="B40" s="273"/>
      <c r="C40" s="285"/>
      <c r="D40" s="285"/>
      <c r="E40" s="285"/>
      <c r="F40" s="285"/>
      <c r="G40" s="285"/>
      <c r="H40" s="100"/>
      <c r="I40" s="100"/>
      <c r="J40" s="100"/>
      <c r="K40" s="100"/>
      <c r="L40" s="100"/>
      <c r="M40" s="100"/>
      <c r="N40" s="100"/>
      <c r="O40" s="100"/>
      <c r="P40" s="100"/>
      <c r="Q40" s="272"/>
    </row>
    <row r="41" spans="1:17" ht="15">
      <c r="A41" s="34"/>
      <c r="B41" s="35"/>
      <c r="C41" s="35"/>
      <c r="D41" s="35"/>
      <c r="E41" s="35"/>
      <c r="F41" s="35"/>
      <c r="G41" s="35"/>
      <c r="H41" s="35"/>
      <c r="I41" s="35"/>
      <c r="J41" s="35"/>
      <c r="K41" s="35"/>
      <c r="L41" s="35"/>
      <c r="M41" s="35"/>
      <c r="N41" s="35"/>
      <c r="O41" s="35"/>
      <c r="P41" s="35"/>
      <c r="Q41" s="37"/>
    </row>
    <row r="42" spans="1:17" ht="15.75" thickBot="1">
      <c r="A42" s="72"/>
      <c r="B42" s="73"/>
      <c r="C42" s="73"/>
      <c r="D42" s="73"/>
      <c r="E42" s="73"/>
      <c r="F42" s="73"/>
      <c r="G42" s="73"/>
      <c r="H42" s="73"/>
      <c r="I42" s="73"/>
      <c r="J42" s="73"/>
      <c r="K42" s="73"/>
      <c r="L42" s="73"/>
      <c r="M42" s="73"/>
      <c r="N42" s="73"/>
      <c r="O42" s="73"/>
      <c r="P42" s="73"/>
      <c r="Q42" s="74"/>
    </row>
    <row r="43" spans="1:17" ht="15.75" thickTop="1">
      <c r="A43" s="5"/>
      <c r="B43" s="5"/>
      <c r="C43" s="5"/>
      <c r="D43" s="5"/>
      <c r="E43" s="5"/>
      <c r="F43" s="5"/>
      <c r="G43" s="5"/>
      <c r="H43" s="5"/>
      <c r="I43" s="5"/>
      <c r="J43" s="5"/>
      <c r="K43" s="5"/>
      <c r="L43" s="5"/>
      <c r="M43" s="5"/>
      <c r="N43" s="5"/>
      <c r="O43" s="5"/>
      <c r="P43" s="5"/>
      <c r="Q43" s="5"/>
    </row>
  </sheetData>
  <sheetProtection password="C692" sheet="1"/>
  <mergeCells count="38">
    <mergeCell ref="A2:Q2"/>
    <mergeCell ref="A3:Q3"/>
    <mergeCell ref="A4:Q5"/>
    <mergeCell ref="A7:Q7"/>
    <mergeCell ref="C10:D10"/>
    <mergeCell ref="E10:H10"/>
    <mergeCell ref="I10:K10"/>
    <mergeCell ref="L10:M10"/>
    <mergeCell ref="N10:P10"/>
    <mergeCell ref="J8:L8"/>
    <mergeCell ref="A27:Q27"/>
    <mergeCell ref="C11:D11"/>
    <mergeCell ref="E11:H11"/>
    <mergeCell ref="I11:K11"/>
    <mergeCell ref="L11:M11"/>
    <mergeCell ref="N11:P11"/>
    <mergeCell ref="B12:M12"/>
    <mergeCell ref="N12:P12"/>
    <mergeCell ref="L37:P38"/>
    <mergeCell ref="C30:D30"/>
    <mergeCell ref="E30:H30"/>
    <mergeCell ref="I30:K30"/>
    <mergeCell ref="L30:M30"/>
    <mergeCell ref="N30:P30"/>
    <mergeCell ref="C31:D31"/>
    <mergeCell ref="E31:H31"/>
    <mergeCell ref="I31:K31"/>
    <mergeCell ref="L31:M31"/>
    <mergeCell ref="G8:I8"/>
    <mergeCell ref="J28:L28"/>
    <mergeCell ref="G28:I28"/>
    <mergeCell ref="B32:M32"/>
    <mergeCell ref="N32:P32"/>
    <mergeCell ref="N31:P31"/>
    <mergeCell ref="L17:P18"/>
    <mergeCell ref="A23:Q23"/>
    <mergeCell ref="A24:Q24"/>
    <mergeCell ref="A25:Q25"/>
  </mergeCells>
  <printOptions/>
  <pageMargins left="0.58" right="0.4"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5" sqref="G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 Pc</dc:creator>
  <cp:keywords/>
  <dc:description/>
  <cp:lastModifiedBy>cr</cp:lastModifiedBy>
  <cp:lastPrinted>2014-01-31T23:57:04Z</cp:lastPrinted>
  <dcterms:created xsi:type="dcterms:W3CDTF">2012-03-08T10:08:09Z</dcterms:created>
  <dcterms:modified xsi:type="dcterms:W3CDTF">2014-02-12T13:03:44Z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